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maemery\Downloads\"/>
    </mc:Choice>
  </mc:AlternateContent>
  <xr:revisionPtr revIDLastSave="0" documentId="8_{31578C02-0A04-4244-9A25-0A0379BD2841}" xr6:coauthVersionLast="47" xr6:coauthVersionMax="47" xr10:uidLastSave="{00000000-0000-0000-0000-000000000000}"/>
  <bookViews>
    <workbookView xWindow="1020" yWindow="2745" windowWidth="23055" windowHeight="11130" xr2:uid="{00000000-000D-0000-FFFF-FFFF00000000}"/>
  </bookViews>
  <sheets>
    <sheet name="Flowchart" sheetId="1" r:id="rId1"/>
    <sheet name="Audit" sheetId="5" r:id="rId2"/>
    <sheet name="GenEd" sheetId="6" state="hidden" r:id="rId3"/>
    <sheet name="Page1" sheetId="4" state="hidden" r:id="rId4"/>
    <sheet name="Page2" sheetId="3" state="hidden" r:id="rId5"/>
    <sheet name="Page3" sheetId="2" state="hidden" r:id="rId6"/>
  </sheets>
  <definedNames>
    <definedName name="_xlnm.Print_Area" localSheetId="1">Audit!$B$3:$P$68</definedName>
    <definedName name="_xlnm.Print_Area" localSheetId="3">Page1!$A$1:$AB$56</definedName>
    <definedName name="_xlnm.Print_Area" localSheetId="4">Page2!$A$1:$AC$57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5" l="1"/>
  <c r="C33" i="5"/>
  <c r="I28" i="5"/>
  <c r="J28" i="5" s="1"/>
  <c r="H28" i="5"/>
  <c r="G28" i="5"/>
  <c r="F28" i="5" s="1"/>
  <c r="O28" i="5" l="1"/>
  <c r="N28" i="5"/>
  <c r="M28" i="5"/>
  <c r="L28" i="5"/>
  <c r="K28" i="5"/>
  <c r="E8" i="3"/>
  <c r="E7" i="3"/>
  <c r="O7" i="3"/>
  <c r="M7" i="3"/>
  <c r="P3" i="4"/>
  <c r="B3" i="4"/>
  <c r="A3" i="4"/>
  <c r="F11" i="6" l="1"/>
  <c r="E11" i="6"/>
  <c r="F10" i="6"/>
  <c r="E10" i="6"/>
  <c r="B7" i="6"/>
  <c r="F9" i="6"/>
  <c r="E9" i="6"/>
  <c r="F7" i="6"/>
  <c r="E7" i="6"/>
  <c r="F16" i="6"/>
  <c r="E16" i="6"/>
  <c r="F14" i="6"/>
  <c r="E14" i="6"/>
  <c r="F12" i="6"/>
  <c r="E12" i="6"/>
  <c r="D12" i="6"/>
  <c r="F8" i="6"/>
  <c r="E8" i="6"/>
  <c r="D8" i="6"/>
  <c r="F6" i="6"/>
  <c r="E6" i="6"/>
  <c r="D6" i="6"/>
  <c r="U53" i="5"/>
  <c r="U51" i="5"/>
  <c r="AZ60" i="1"/>
  <c r="AS60" i="1"/>
  <c r="AL60" i="1"/>
  <c r="AE60" i="1"/>
  <c r="X60" i="1"/>
  <c r="Q60" i="1"/>
  <c r="J60" i="1"/>
  <c r="C60" i="1"/>
  <c r="C51" i="5"/>
  <c r="D16" i="6"/>
  <c r="C53" i="5"/>
  <c r="M5" i="2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C57" i="5"/>
  <c r="D10" i="6" s="1"/>
  <c r="C56" i="5"/>
  <c r="D9" i="6" s="1"/>
  <c r="C55" i="5"/>
  <c r="D14" i="6" s="1"/>
  <c r="B5" i="3"/>
  <c r="P32" i="4"/>
  <c r="C32" i="5"/>
  <c r="C31" i="5"/>
  <c r="C30" i="5"/>
  <c r="M18" i="2" l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C58" i="5"/>
  <c r="C59" i="5"/>
  <c r="C60" i="5"/>
  <c r="D11" i="6"/>
  <c r="E65" i="5"/>
  <c r="F29" i="5"/>
  <c r="F35" i="5"/>
  <c r="F40" i="5"/>
  <c r="F54" i="5"/>
  <c r="J29" i="5"/>
  <c r="K29" i="5"/>
  <c r="L29" i="5"/>
  <c r="M29" i="5"/>
  <c r="N29" i="5"/>
  <c r="O29" i="5"/>
  <c r="J35" i="5"/>
  <c r="K35" i="5"/>
  <c r="L35" i="5"/>
  <c r="M35" i="5"/>
  <c r="N35" i="5"/>
  <c r="O35" i="5"/>
  <c r="J40" i="5"/>
  <c r="K40" i="5"/>
  <c r="L40" i="5"/>
  <c r="M40" i="5"/>
  <c r="N40" i="5"/>
  <c r="O40" i="5"/>
  <c r="J54" i="5"/>
  <c r="K54" i="5"/>
  <c r="L54" i="5"/>
  <c r="M54" i="5"/>
  <c r="N54" i="5"/>
  <c r="O54" i="5"/>
  <c r="H9" i="5"/>
  <c r="I9" i="5"/>
  <c r="N9" i="5" s="1"/>
  <c r="H10" i="5"/>
  <c r="I10" i="5"/>
  <c r="J10" i="5" s="1"/>
  <c r="H11" i="5"/>
  <c r="I11" i="5"/>
  <c r="J11" i="5" s="1"/>
  <c r="H12" i="5"/>
  <c r="I12" i="5"/>
  <c r="K12" i="5" s="1"/>
  <c r="H13" i="5"/>
  <c r="I13" i="5"/>
  <c r="K13" i="5" s="1"/>
  <c r="H14" i="5"/>
  <c r="I14" i="5"/>
  <c r="K14" i="5" s="1"/>
  <c r="H15" i="5"/>
  <c r="I15" i="5"/>
  <c r="K15" i="5" s="1"/>
  <c r="H16" i="5"/>
  <c r="I16" i="5"/>
  <c r="K16" i="5" s="1"/>
  <c r="H17" i="5"/>
  <c r="I17" i="5"/>
  <c r="J17" i="5" s="1"/>
  <c r="H18" i="5"/>
  <c r="I18" i="5"/>
  <c r="K18" i="5" s="1"/>
  <c r="H19" i="5"/>
  <c r="I19" i="5"/>
  <c r="J19" i="5" s="1"/>
  <c r="H20" i="5"/>
  <c r="I20" i="5"/>
  <c r="K20" i="5" s="1"/>
  <c r="H21" i="5"/>
  <c r="I21" i="5"/>
  <c r="K21" i="5" s="1"/>
  <c r="H22" i="5"/>
  <c r="I22" i="5"/>
  <c r="K22" i="5" s="1"/>
  <c r="H23" i="5"/>
  <c r="I23" i="5"/>
  <c r="K23" i="5" s="1"/>
  <c r="H24" i="5"/>
  <c r="I24" i="5"/>
  <c r="K24" i="5" s="1"/>
  <c r="H25" i="5"/>
  <c r="I25" i="5"/>
  <c r="J25" i="5" s="1"/>
  <c r="H26" i="5"/>
  <c r="I26" i="5"/>
  <c r="K26" i="5" s="1"/>
  <c r="H27" i="5"/>
  <c r="I27" i="5"/>
  <c r="K27" i="5" s="1"/>
  <c r="H30" i="5"/>
  <c r="I30" i="5"/>
  <c r="J30" i="5" s="1"/>
  <c r="H31" i="5"/>
  <c r="I31" i="5"/>
  <c r="K31" i="5" s="1"/>
  <c r="H32" i="5"/>
  <c r="I32" i="5"/>
  <c r="J32" i="5" s="1"/>
  <c r="H33" i="5"/>
  <c r="I33" i="5"/>
  <c r="H34" i="5"/>
  <c r="I34" i="5"/>
  <c r="J34" i="5" s="1"/>
  <c r="H36" i="5"/>
  <c r="I36" i="5"/>
  <c r="J36" i="5" s="1"/>
  <c r="H37" i="5"/>
  <c r="I37" i="5"/>
  <c r="K37" i="5" s="1"/>
  <c r="H38" i="5"/>
  <c r="I38" i="5"/>
  <c r="K38" i="5" s="1"/>
  <c r="H39" i="5"/>
  <c r="I39" i="5"/>
  <c r="K39" i="5" s="1"/>
  <c r="H41" i="5"/>
  <c r="I41" i="5"/>
  <c r="K41" i="5" s="1"/>
  <c r="H42" i="5"/>
  <c r="I42" i="5"/>
  <c r="J42" i="5" s="1"/>
  <c r="H43" i="5"/>
  <c r="I43" i="5"/>
  <c r="K43" i="5" s="1"/>
  <c r="H44" i="5"/>
  <c r="I44" i="5"/>
  <c r="J44" i="5" s="1"/>
  <c r="H45" i="5"/>
  <c r="I45" i="5"/>
  <c r="K45" i="5" s="1"/>
  <c r="H46" i="5"/>
  <c r="I46" i="5"/>
  <c r="J46" i="5" s="1"/>
  <c r="H47" i="5"/>
  <c r="I47" i="5"/>
  <c r="K47" i="5" s="1"/>
  <c r="H48" i="5"/>
  <c r="I48" i="5"/>
  <c r="J48" i="5" s="1"/>
  <c r="H49" i="5"/>
  <c r="I49" i="5"/>
  <c r="K49" i="5" s="1"/>
  <c r="H50" i="5"/>
  <c r="I50" i="5"/>
  <c r="J50" i="5" s="1"/>
  <c r="H51" i="5"/>
  <c r="I51" i="5"/>
  <c r="K51" i="5" s="1"/>
  <c r="H52" i="5"/>
  <c r="I52" i="5"/>
  <c r="J52" i="5" s="1"/>
  <c r="H53" i="5"/>
  <c r="I53" i="5"/>
  <c r="K53" i="5" s="1"/>
  <c r="H55" i="5"/>
  <c r="I55" i="5"/>
  <c r="K55" i="5" s="1"/>
  <c r="H56" i="5"/>
  <c r="I56" i="5"/>
  <c r="K56" i="5" s="1"/>
  <c r="H57" i="5"/>
  <c r="I57" i="5"/>
  <c r="K57" i="5" s="1"/>
  <c r="H58" i="5"/>
  <c r="I58" i="5"/>
  <c r="J58" i="5" s="1"/>
  <c r="H59" i="5"/>
  <c r="I59" i="5"/>
  <c r="K59" i="5" s="1"/>
  <c r="H60" i="5"/>
  <c r="I60" i="5"/>
  <c r="K60" i="5" s="1"/>
  <c r="G60" i="5"/>
  <c r="F60" i="5" s="1"/>
  <c r="G59" i="5"/>
  <c r="F59" i="5" s="1"/>
  <c r="G58" i="5"/>
  <c r="F58" i="5" s="1"/>
  <c r="G57" i="5"/>
  <c r="F57" i="5" s="1"/>
  <c r="G56" i="5"/>
  <c r="F56" i="5" s="1"/>
  <c r="G55" i="5"/>
  <c r="F55" i="5" s="1"/>
  <c r="G53" i="5"/>
  <c r="F53" i="5" s="1"/>
  <c r="G52" i="5"/>
  <c r="F52" i="5" s="1"/>
  <c r="G51" i="5"/>
  <c r="F51" i="5" s="1"/>
  <c r="G50" i="5"/>
  <c r="F50" i="5" s="1"/>
  <c r="G49" i="5"/>
  <c r="F49" i="5" s="1"/>
  <c r="G48" i="5"/>
  <c r="F48" i="5" s="1"/>
  <c r="G47" i="5"/>
  <c r="F47" i="5" s="1"/>
  <c r="G46" i="5"/>
  <c r="F46" i="5" s="1"/>
  <c r="G45" i="5"/>
  <c r="F45" i="5" s="1"/>
  <c r="G44" i="5"/>
  <c r="F44" i="5" s="1"/>
  <c r="G43" i="5"/>
  <c r="F43" i="5" s="1"/>
  <c r="G42" i="5"/>
  <c r="F42" i="5" s="1"/>
  <c r="G41" i="5"/>
  <c r="F41" i="5" s="1"/>
  <c r="G39" i="5"/>
  <c r="F39" i="5" s="1"/>
  <c r="G38" i="5"/>
  <c r="F38" i="5" s="1"/>
  <c r="G37" i="5"/>
  <c r="F37" i="5" s="1"/>
  <c r="G36" i="5"/>
  <c r="F36" i="5" s="1"/>
  <c r="G34" i="5"/>
  <c r="F34" i="5" s="1"/>
  <c r="G33" i="5"/>
  <c r="F33" i="5" s="1"/>
  <c r="G32" i="5"/>
  <c r="F32" i="5" s="1"/>
  <c r="G31" i="5"/>
  <c r="F31" i="5" s="1"/>
  <c r="G30" i="5"/>
  <c r="F30" i="5" s="1"/>
  <c r="G27" i="5"/>
  <c r="F27" i="5" s="1"/>
  <c r="G26" i="5"/>
  <c r="F26" i="5" s="1"/>
  <c r="G25" i="5"/>
  <c r="F25" i="5" s="1"/>
  <c r="G24" i="5"/>
  <c r="F24" i="5" s="1"/>
  <c r="G23" i="5"/>
  <c r="F23" i="5" s="1"/>
  <c r="G22" i="5"/>
  <c r="F22" i="5" s="1"/>
  <c r="G21" i="5"/>
  <c r="F21" i="5" s="1"/>
  <c r="G20" i="5"/>
  <c r="F20" i="5" s="1"/>
  <c r="G19" i="5"/>
  <c r="F19" i="5" s="1"/>
  <c r="G18" i="5"/>
  <c r="F18" i="5" s="1"/>
  <c r="G17" i="5"/>
  <c r="F17" i="5" s="1"/>
  <c r="G16" i="5"/>
  <c r="F16" i="5" s="1"/>
  <c r="G15" i="5"/>
  <c r="F15" i="5" s="1"/>
  <c r="G14" i="5"/>
  <c r="F14" i="5" s="1"/>
  <c r="G13" i="5"/>
  <c r="F13" i="5" s="1"/>
  <c r="G12" i="5"/>
  <c r="F12" i="5" s="1"/>
  <c r="G11" i="5"/>
  <c r="F11" i="5" s="1"/>
  <c r="G10" i="5"/>
  <c r="F10" i="5" s="1"/>
  <c r="G9" i="5"/>
  <c r="F9" i="5" s="1"/>
  <c r="AT14" i="1"/>
  <c r="AJ14" i="1"/>
  <c r="AN14" i="1"/>
  <c r="K33" i="5" l="1"/>
  <c r="M33" i="5"/>
  <c r="L44" i="5"/>
  <c r="J45" i="5"/>
  <c r="M39" i="5"/>
  <c r="O44" i="5"/>
  <c r="M12" i="5"/>
  <c r="K44" i="5"/>
  <c r="J57" i="5"/>
  <c r="J51" i="5"/>
  <c r="L38" i="5"/>
  <c r="J24" i="5"/>
  <c r="M59" i="5"/>
  <c r="J55" i="5"/>
  <c r="O50" i="5"/>
  <c r="M37" i="5"/>
  <c r="K30" i="5"/>
  <c r="L23" i="5"/>
  <c r="J39" i="5"/>
  <c r="L50" i="5"/>
  <c r="J37" i="5"/>
  <c r="M22" i="5"/>
  <c r="K50" i="5"/>
  <c r="J22" i="5"/>
  <c r="J16" i="5"/>
  <c r="O34" i="5"/>
  <c r="J49" i="5"/>
  <c r="L56" i="5"/>
  <c r="K52" i="5"/>
  <c r="L46" i="5"/>
  <c r="J31" i="5"/>
  <c r="L25" i="5"/>
  <c r="L17" i="5"/>
  <c r="M55" i="5"/>
  <c r="M51" i="5"/>
  <c r="K46" i="5"/>
  <c r="L30" i="5"/>
  <c r="M24" i="5"/>
  <c r="M16" i="5"/>
  <c r="M14" i="5"/>
  <c r="J14" i="5"/>
  <c r="L34" i="5"/>
  <c r="O42" i="5"/>
  <c r="M20" i="5"/>
  <c r="J59" i="5"/>
  <c r="L48" i="5"/>
  <c r="L42" i="5"/>
  <c r="J33" i="5"/>
  <c r="J20" i="5"/>
  <c r="J12" i="5"/>
  <c r="O9" i="5"/>
  <c r="L60" i="5"/>
  <c r="L13" i="5"/>
  <c r="L58" i="5"/>
  <c r="J53" i="5"/>
  <c r="K48" i="5"/>
  <c r="K42" i="5"/>
  <c r="O32" i="5"/>
  <c r="L27" i="5"/>
  <c r="L19" i="5"/>
  <c r="L9" i="5"/>
  <c r="O48" i="5"/>
  <c r="M57" i="5"/>
  <c r="O52" i="5"/>
  <c r="J47" i="5"/>
  <c r="J41" i="5"/>
  <c r="L36" i="5"/>
  <c r="L32" i="5"/>
  <c r="M26" i="5"/>
  <c r="M18" i="5"/>
  <c r="L15" i="5"/>
  <c r="J43" i="5"/>
  <c r="L21" i="5"/>
  <c r="K34" i="5"/>
  <c r="L52" i="5"/>
  <c r="O46" i="5"/>
  <c r="K32" i="5"/>
  <c r="J26" i="5"/>
  <c r="J18" i="5"/>
  <c r="O38" i="5"/>
  <c r="O36" i="5"/>
  <c r="O30" i="5"/>
  <c r="O27" i="5"/>
  <c r="O25" i="5"/>
  <c r="O23" i="5"/>
  <c r="O21" i="5"/>
  <c r="O19" i="5"/>
  <c r="O17" i="5"/>
  <c r="O15" i="5"/>
  <c r="O13" i="5"/>
  <c r="O11" i="5"/>
  <c r="O58" i="5"/>
  <c r="N60" i="5"/>
  <c r="N58" i="5"/>
  <c r="N56" i="5"/>
  <c r="N52" i="5"/>
  <c r="N50" i="5"/>
  <c r="N48" i="5"/>
  <c r="N46" i="5"/>
  <c r="N44" i="5"/>
  <c r="N42" i="5"/>
  <c r="N38" i="5"/>
  <c r="N36" i="5"/>
  <c r="N34" i="5"/>
  <c r="N32" i="5"/>
  <c r="N30" i="5"/>
  <c r="N27" i="5"/>
  <c r="N25" i="5"/>
  <c r="N23" i="5"/>
  <c r="N21" i="5"/>
  <c r="N19" i="5"/>
  <c r="N17" i="5"/>
  <c r="N15" i="5"/>
  <c r="N13" i="5"/>
  <c r="N11" i="5"/>
  <c r="O60" i="5"/>
  <c r="O56" i="5"/>
  <c r="M60" i="5"/>
  <c r="M58" i="5"/>
  <c r="M56" i="5"/>
  <c r="M52" i="5"/>
  <c r="M50" i="5"/>
  <c r="M48" i="5"/>
  <c r="M46" i="5"/>
  <c r="M44" i="5"/>
  <c r="M42" i="5"/>
  <c r="M38" i="5"/>
  <c r="M36" i="5"/>
  <c r="M34" i="5"/>
  <c r="M32" i="5"/>
  <c r="M30" i="5"/>
  <c r="M27" i="5"/>
  <c r="M25" i="5"/>
  <c r="M23" i="5"/>
  <c r="M21" i="5"/>
  <c r="M19" i="5"/>
  <c r="M17" i="5"/>
  <c r="M15" i="5"/>
  <c r="M13" i="5"/>
  <c r="M11" i="5"/>
  <c r="L11" i="5"/>
  <c r="K11" i="5"/>
  <c r="K58" i="5"/>
  <c r="K36" i="5"/>
  <c r="K25" i="5"/>
  <c r="K19" i="5"/>
  <c r="K17" i="5"/>
  <c r="J60" i="5"/>
  <c r="J56" i="5"/>
  <c r="J38" i="5"/>
  <c r="J27" i="5"/>
  <c r="J23" i="5"/>
  <c r="J21" i="5"/>
  <c r="J15" i="5"/>
  <c r="J13" i="5"/>
  <c r="J9" i="5"/>
  <c r="O59" i="5"/>
  <c r="O57" i="5"/>
  <c r="O55" i="5"/>
  <c r="O53" i="5"/>
  <c r="O51" i="5"/>
  <c r="O49" i="5"/>
  <c r="O47" i="5"/>
  <c r="O45" i="5"/>
  <c r="O43" i="5"/>
  <c r="O41" i="5"/>
  <c r="O39" i="5"/>
  <c r="O37" i="5"/>
  <c r="O33" i="5"/>
  <c r="O31" i="5"/>
  <c r="O26" i="5"/>
  <c r="O24" i="5"/>
  <c r="O22" i="5"/>
  <c r="O20" i="5"/>
  <c r="O18" i="5"/>
  <c r="O16" i="5"/>
  <c r="O14" i="5"/>
  <c r="O12" i="5"/>
  <c r="O10" i="5"/>
  <c r="K9" i="5"/>
  <c r="N59" i="5"/>
  <c r="N57" i="5"/>
  <c r="N55" i="5"/>
  <c r="N53" i="5"/>
  <c r="N51" i="5"/>
  <c r="N49" i="5"/>
  <c r="N47" i="5"/>
  <c r="N45" i="5"/>
  <c r="N43" i="5"/>
  <c r="N41" i="5"/>
  <c r="N39" i="5"/>
  <c r="N37" i="5"/>
  <c r="N33" i="5"/>
  <c r="N31" i="5"/>
  <c r="N26" i="5"/>
  <c r="N24" i="5"/>
  <c r="N22" i="5"/>
  <c r="N20" i="5"/>
  <c r="N18" i="5"/>
  <c r="N16" i="5"/>
  <c r="N14" i="5"/>
  <c r="N12" i="5"/>
  <c r="N10" i="5"/>
  <c r="M10" i="5"/>
  <c r="M47" i="5"/>
  <c r="M43" i="5"/>
  <c r="M41" i="5"/>
  <c r="M9" i="5"/>
  <c r="L59" i="5"/>
  <c r="L57" i="5"/>
  <c r="L55" i="5"/>
  <c r="L53" i="5"/>
  <c r="L51" i="5"/>
  <c r="L49" i="5"/>
  <c r="L47" i="5"/>
  <c r="L45" i="5"/>
  <c r="L43" i="5"/>
  <c r="L41" i="5"/>
  <c r="L39" i="5"/>
  <c r="L37" i="5"/>
  <c r="L33" i="5"/>
  <c r="L31" i="5"/>
  <c r="L26" i="5"/>
  <c r="L24" i="5"/>
  <c r="L22" i="5"/>
  <c r="L20" i="5"/>
  <c r="L18" i="5"/>
  <c r="L16" i="5"/>
  <c r="D66" i="5" s="1"/>
  <c r="E66" i="5" s="1"/>
  <c r="L14" i="5"/>
  <c r="L12" i="5"/>
  <c r="L10" i="5"/>
  <c r="M53" i="5"/>
  <c r="M49" i="5"/>
  <c r="M45" i="5"/>
  <c r="M31" i="5"/>
  <c r="K10" i="5"/>
  <c r="B13" i="3"/>
  <c r="K62" i="5" l="1"/>
  <c r="N62" i="5"/>
  <c r="M62" i="5"/>
  <c r="L62" i="5"/>
  <c r="O62" i="5"/>
  <c r="M26" i="4"/>
  <c r="K26" i="4"/>
  <c r="I26" i="4"/>
  <c r="G26" i="4"/>
  <c r="E26" i="4"/>
  <c r="D63" i="5" l="1"/>
  <c r="E63" i="5" s="1"/>
  <c r="AN15" i="1"/>
  <c r="D64" i="5"/>
  <c r="E64" i="5" s="1"/>
  <c r="D67" i="5"/>
  <c r="E67" i="5" s="1"/>
  <c r="G5" i="3"/>
  <c r="E14" i="4"/>
  <c r="C36" i="4" l="1"/>
  <c r="O8" i="3" l="1"/>
  <c r="M8" i="3"/>
  <c r="K8" i="3"/>
  <c r="I8" i="3"/>
  <c r="G8" i="3"/>
  <c r="K7" i="3"/>
  <c r="I7" i="3"/>
  <c r="G7" i="3"/>
  <c r="M36" i="4"/>
  <c r="K36" i="4"/>
  <c r="I36" i="4"/>
  <c r="G36" i="4"/>
  <c r="E36" i="4"/>
  <c r="C40" i="1"/>
  <c r="I32" i="4" l="1"/>
  <c r="X50" i="1" l="1"/>
  <c r="Y50" i="1" s="1"/>
  <c r="C26" i="4" l="1"/>
  <c r="M33" i="4"/>
  <c r="K33" i="4"/>
  <c r="I33" i="4"/>
  <c r="G33" i="4"/>
  <c r="E33" i="4"/>
  <c r="M32" i="4"/>
  <c r="K32" i="4"/>
  <c r="G32" i="4"/>
  <c r="E32" i="4"/>
  <c r="M20" i="4"/>
  <c r="K20" i="4"/>
  <c r="I20" i="4"/>
  <c r="G20" i="4"/>
  <c r="E20" i="4"/>
  <c r="M17" i="4"/>
  <c r="K17" i="4"/>
  <c r="I17" i="4"/>
  <c r="G17" i="4"/>
  <c r="E17" i="4"/>
  <c r="M16" i="4"/>
  <c r="K16" i="4"/>
  <c r="I16" i="4"/>
  <c r="G16" i="4"/>
  <c r="E16" i="4"/>
  <c r="I15" i="4"/>
  <c r="G14" i="4"/>
  <c r="I14" i="4"/>
  <c r="K14" i="4"/>
  <c r="M14" i="4"/>
  <c r="C33" i="4"/>
  <c r="C32" i="4"/>
  <c r="C20" i="4"/>
  <c r="C21" i="4"/>
  <c r="C17" i="4"/>
  <c r="C16" i="4"/>
  <c r="C14" i="4"/>
  <c r="J30" i="1"/>
  <c r="K30" i="1" s="1"/>
  <c r="C45" i="1" l="1"/>
  <c r="D45" i="1" s="1"/>
  <c r="C30" i="1"/>
  <c r="D30" i="1" s="1"/>
  <c r="K3" i="2" l="1"/>
  <c r="M40" i="4" l="1"/>
  <c r="K40" i="4"/>
  <c r="I40" i="4"/>
  <c r="G40" i="4"/>
  <c r="E40" i="4"/>
  <c r="M28" i="4"/>
  <c r="K28" i="4"/>
  <c r="I28" i="4"/>
  <c r="G28" i="4"/>
  <c r="E28" i="4"/>
  <c r="M27" i="4"/>
  <c r="K27" i="4"/>
  <c r="I27" i="4"/>
  <c r="G27" i="4"/>
  <c r="E27" i="4"/>
  <c r="C28" i="4"/>
  <c r="G1" i="4" l="1"/>
  <c r="P21" i="2" l="1"/>
  <c r="B8" i="3" l="1"/>
  <c r="B7" i="3"/>
  <c r="B6" i="3"/>
  <c r="V48" i="1"/>
  <c r="C52" i="5" l="1"/>
  <c r="P33" i="4"/>
  <c r="P16" i="2"/>
  <c r="O13" i="3" l="1"/>
  <c r="M13" i="3"/>
  <c r="K13" i="3"/>
  <c r="I13" i="3"/>
  <c r="G13" i="3"/>
  <c r="E13" i="3"/>
  <c r="M55" i="4" l="1"/>
  <c r="K55" i="4"/>
  <c r="I55" i="4"/>
  <c r="G55" i="4"/>
  <c r="E55" i="4"/>
  <c r="M54" i="4"/>
  <c r="K54" i="4"/>
  <c r="I54" i="4"/>
  <c r="G54" i="4"/>
  <c r="E54" i="4"/>
  <c r="M52" i="4"/>
  <c r="K52" i="4"/>
  <c r="I52" i="4"/>
  <c r="G52" i="4"/>
  <c r="E52" i="4"/>
  <c r="C52" i="4"/>
  <c r="M43" i="4" l="1"/>
  <c r="K43" i="4"/>
  <c r="I43" i="4"/>
  <c r="G43" i="4"/>
  <c r="E43" i="4"/>
  <c r="M29" i="4"/>
  <c r="K29" i="4"/>
  <c r="I29" i="4"/>
  <c r="G29" i="4"/>
  <c r="E29" i="4"/>
  <c r="C55" i="4"/>
  <c r="C54" i="4"/>
  <c r="M46" i="4"/>
  <c r="K46" i="4"/>
  <c r="I46" i="4"/>
  <c r="G46" i="4"/>
  <c r="E46" i="4"/>
  <c r="C46" i="4"/>
  <c r="C47" i="4"/>
  <c r="P54" i="4"/>
  <c r="M49" i="4"/>
  <c r="K49" i="4"/>
  <c r="I49" i="4"/>
  <c r="G49" i="4"/>
  <c r="E49" i="4"/>
  <c r="C49" i="4"/>
  <c r="M53" i="4"/>
  <c r="K53" i="4"/>
  <c r="I53" i="4"/>
  <c r="G53" i="4"/>
  <c r="E53" i="4"/>
  <c r="C53" i="4"/>
  <c r="M48" i="4"/>
  <c r="K48" i="4"/>
  <c r="E48" i="4"/>
  <c r="I48" i="4"/>
  <c r="G48" i="4"/>
  <c r="C48" i="4"/>
  <c r="O56" i="4" l="1"/>
  <c r="AS40" i="1"/>
  <c r="AT40" i="1" s="1"/>
  <c r="AS35" i="1"/>
  <c r="AT35" i="1" s="1"/>
  <c r="AZ40" i="1"/>
  <c r="BA40" i="1" s="1"/>
  <c r="AZ35" i="1"/>
  <c r="BA35" i="1" s="1"/>
  <c r="AZ30" i="1"/>
  <c r="BA30" i="1" s="1"/>
  <c r="AS30" i="1"/>
  <c r="AT30" i="1" s="1"/>
  <c r="AZ25" i="1"/>
  <c r="BA25" i="1" l="1"/>
  <c r="AE25" i="1"/>
  <c r="AS50" i="1"/>
  <c r="AT50" i="1" s="1"/>
  <c r="X55" i="1"/>
  <c r="Y55" i="1" s="1"/>
  <c r="AF25" i="1" l="1"/>
  <c r="Q4" i="2"/>
  <c r="T4" i="2"/>
  <c r="T17" i="2" s="1"/>
  <c r="P8" i="2"/>
  <c r="O17" i="3"/>
  <c r="M17" i="3"/>
  <c r="K17" i="3"/>
  <c r="I17" i="3"/>
  <c r="G17" i="3"/>
  <c r="E17" i="3"/>
  <c r="P4" i="2"/>
  <c r="S4" i="2" s="1"/>
  <c r="W4" i="2" s="1"/>
  <c r="B17" i="3" s="1"/>
  <c r="P18" i="2"/>
  <c r="O16" i="3"/>
  <c r="M16" i="3"/>
  <c r="K16" i="3"/>
  <c r="I16" i="3"/>
  <c r="G16" i="3"/>
  <c r="E16" i="3"/>
  <c r="O15" i="3"/>
  <c r="M15" i="3"/>
  <c r="K15" i="3"/>
  <c r="I15" i="3"/>
  <c r="G15" i="3"/>
  <c r="E15" i="3"/>
  <c r="B15" i="3"/>
  <c r="O14" i="3"/>
  <c r="M14" i="3"/>
  <c r="K14" i="3"/>
  <c r="I14" i="3"/>
  <c r="G14" i="3"/>
  <c r="E14" i="3"/>
  <c r="O12" i="3"/>
  <c r="M12" i="3"/>
  <c r="K12" i="3"/>
  <c r="I12" i="3"/>
  <c r="G12" i="3"/>
  <c r="E12" i="3"/>
  <c r="B12" i="3"/>
  <c r="O6" i="3"/>
  <c r="M6" i="3"/>
  <c r="K6" i="3"/>
  <c r="I6" i="3"/>
  <c r="G6" i="3"/>
  <c r="E6" i="3"/>
  <c r="O5" i="3"/>
  <c r="M5" i="3"/>
  <c r="K5" i="3"/>
  <c r="I5" i="3"/>
  <c r="E5" i="3"/>
  <c r="P55" i="4"/>
  <c r="M47" i="4"/>
  <c r="K47" i="4"/>
  <c r="I47" i="4"/>
  <c r="G47" i="4"/>
  <c r="E47" i="4"/>
  <c r="M45" i="4"/>
  <c r="K45" i="4"/>
  <c r="I45" i="4"/>
  <c r="G45" i="4"/>
  <c r="E45" i="4"/>
  <c r="C45" i="4"/>
  <c r="C43" i="4"/>
  <c r="M42" i="4"/>
  <c r="K42" i="4"/>
  <c r="I42" i="4"/>
  <c r="G42" i="4"/>
  <c r="E42" i="4"/>
  <c r="C42" i="4"/>
  <c r="M41" i="4"/>
  <c r="K41" i="4"/>
  <c r="I41" i="4"/>
  <c r="G41" i="4"/>
  <c r="E41" i="4"/>
  <c r="C41" i="4"/>
  <c r="C40" i="4"/>
  <c r="M39" i="4"/>
  <c r="K39" i="4"/>
  <c r="I39" i="4"/>
  <c r="G39" i="4"/>
  <c r="E39" i="4"/>
  <c r="C39" i="4"/>
  <c r="M38" i="4"/>
  <c r="K38" i="4"/>
  <c r="I38" i="4"/>
  <c r="G38" i="4"/>
  <c r="E38" i="4"/>
  <c r="C38" i="4"/>
  <c r="M35" i="4"/>
  <c r="K35" i="4"/>
  <c r="I35" i="4"/>
  <c r="G35" i="4"/>
  <c r="E35" i="4"/>
  <c r="C35" i="4"/>
  <c r="M34" i="4"/>
  <c r="K34" i="4"/>
  <c r="I34" i="4"/>
  <c r="G34" i="4"/>
  <c r="E34" i="4"/>
  <c r="C34" i="4"/>
  <c r="M31" i="4"/>
  <c r="K31" i="4"/>
  <c r="I31" i="4"/>
  <c r="G31" i="4"/>
  <c r="E31" i="4"/>
  <c r="C31" i="4"/>
  <c r="C27" i="4"/>
  <c r="C29" i="4"/>
  <c r="M25" i="4"/>
  <c r="K25" i="4"/>
  <c r="I25" i="4"/>
  <c r="G25" i="4"/>
  <c r="E25" i="4"/>
  <c r="C25" i="4"/>
  <c r="M24" i="4"/>
  <c r="K24" i="4"/>
  <c r="I24" i="4"/>
  <c r="G24" i="4"/>
  <c r="E24" i="4"/>
  <c r="C24" i="4"/>
  <c r="M22" i="4"/>
  <c r="K22" i="4"/>
  <c r="I22" i="4"/>
  <c r="G22" i="4"/>
  <c r="E22" i="4"/>
  <c r="C22" i="4"/>
  <c r="M21" i="4"/>
  <c r="K21" i="4"/>
  <c r="I21" i="4"/>
  <c r="G21" i="4"/>
  <c r="E21" i="4"/>
  <c r="M19" i="4"/>
  <c r="K19" i="4"/>
  <c r="I19" i="4"/>
  <c r="G19" i="4"/>
  <c r="E19" i="4"/>
  <c r="C19" i="4"/>
  <c r="M15" i="4"/>
  <c r="K15" i="4"/>
  <c r="G15" i="4"/>
  <c r="E15" i="4"/>
  <c r="C15" i="4"/>
  <c r="M13" i="4"/>
  <c r="K13" i="4"/>
  <c r="I13" i="4"/>
  <c r="G13" i="4"/>
  <c r="E13" i="4"/>
  <c r="C13" i="4"/>
  <c r="M12" i="4"/>
  <c r="K12" i="4"/>
  <c r="I12" i="4"/>
  <c r="G12" i="4"/>
  <c r="E12" i="4"/>
  <c r="C12" i="4"/>
  <c r="Q50" i="1"/>
  <c r="R50" i="1" s="1"/>
  <c r="G3" i="2"/>
  <c r="C10" i="2"/>
  <c r="C3" i="2"/>
  <c r="AZ55" i="1"/>
  <c r="BA55" i="1" s="1"/>
  <c r="AS55" i="1"/>
  <c r="AT55" i="1" s="1"/>
  <c r="P26" i="2"/>
  <c r="P27" i="2"/>
  <c r="P28" i="2"/>
  <c r="P29" i="2"/>
  <c r="P30" i="2"/>
  <c r="P25" i="2"/>
  <c r="P23" i="2"/>
  <c r="P22" i="2"/>
  <c r="P6" i="2"/>
  <c r="P7" i="2"/>
  <c r="P9" i="2"/>
  <c r="P10" i="2"/>
  <c r="P11" i="2"/>
  <c r="P12" i="2"/>
  <c r="P13" i="2"/>
  <c r="P14" i="2"/>
  <c r="P15" i="2"/>
  <c r="P17" i="2"/>
  <c r="P5" i="2"/>
  <c r="P19" i="2"/>
  <c r="P24" i="2"/>
  <c r="P20" i="2"/>
  <c r="AL55" i="1"/>
  <c r="AM55" i="1" s="1"/>
  <c r="AE55" i="1"/>
  <c r="AF55" i="1" s="1"/>
  <c r="Q55" i="1"/>
  <c r="R55" i="1" s="1"/>
  <c r="J55" i="1"/>
  <c r="K55" i="1" s="1"/>
  <c r="C55" i="1"/>
  <c r="D55" i="1" s="1"/>
  <c r="AE45" i="1"/>
  <c r="AF45" i="1" s="1"/>
  <c r="J50" i="1"/>
  <c r="C50" i="1"/>
  <c r="D50" i="1" s="1"/>
  <c r="AE40" i="1"/>
  <c r="AF40" i="1" s="1"/>
  <c r="AL45" i="1"/>
  <c r="AM45" i="1" s="1"/>
  <c r="C35" i="1"/>
  <c r="Q45" i="1"/>
  <c r="R45" i="1" s="1"/>
  <c r="J45" i="1"/>
  <c r="K45" i="1" s="1"/>
  <c r="AZ45" i="1"/>
  <c r="AL50" i="1"/>
  <c r="AM50" i="1" s="1"/>
  <c r="AL40" i="1"/>
  <c r="AM40" i="1" s="1"/>
  <c r="X40" i="1"/>
  <c r="Y40" i="1" s="1"/>
  <c r="Q40" i="1"/>
  <c r="R40" i="1" s="1"/>
  <c r="X45" i="1"/>
  <c r="Y45" i="1" s="1"/>
  <c r="D40" i="1"/>
  <c r="AL35" i="1"/>
  <c r="AM35" i="1" s="1"/>
  <c r="AE35" i="1"/>
  <c r="AF35" i="1" s="1"/>
  <c r="X35" i="1"/>
  <c r="Y35" i="1" s="1"/>
  <c r="Q35" i="1"/>
  <c r="R35" i="1" s="1"/>
  <c r="J35" i="1"/>
  <c r="K35" i="1" s="1"/>
  <c r="AL30" i="1"/>
  <c r="AE30" i="1"/>
  <c r="X30" i="1"/>
  <c r="Y30" i="1" s="1"/>
  <c r="Q30" i="1"/>
  <c r="R30" i="1" s="1"/>
  <c r="AZ50" i="1"/>
  <c r="AS25" i="1"/>
  <c r="X25" i="1"/>
  <c r="Q25" i="1"/>
  <c r="J25" i="1"/>
  <c r="C25" i="1"/>
  <c r="J61" i="1" l="1"/>
  <c r="I62" i="1" s="1"/>
  <c r="AS61" i="1"/>
  <c r="AR62" i="1" s="1"/>
  <c r="X61" i="1"/>
  <c r="W62" i="1" s="1"/>
  <c r="AE61" i="1"/>
  <c r="AD62" i="1" s="1"/>
  <c r="R25" i="1"/>
  <c r="Q61" i="1"/>
  <c r="P62" i="1" s="1"/>
  <c r="BA50" i="1"/>
  <c r="AZ61" i="1"/>
  <c r="AY62" i="1" s="1"/>
  <c r="AL61" i="1"/>
  <c r="AK62" i="1" s="1"/>
  <c r="C61" i="1"/>
  <c r="AZ64" i="1" s="1"/>
  <c r="K50" i="1"/>
  <c r="D35" i="1"/>
  <c r="Y25" i="1"/>
  <c r="O17" i="4"/>
  <c r="D25" i="1"/>
  <c r="I19" i="3"/>
  <c r="M9" i="3"/>
  <c r="S21" i="2"/>
  <c r="Q17" i="2"/>
  <c r="T14" i="2"/>
  <c r="Q7" i="2"/>
  <c r="Q14" i="2"/>
  <c r="S16" i="2"/>
  <c r="O50" i="4"/>
  <c r="K56" i="4"/>
  <c r="E56" i="4"/>
  <c r="G56" i="4"/>
  <c r="I9" i="3"/>
  <c r="M19" i="3"/>
  <c r="M56" i="4"/>
  <c r="O44" i="4"/>
  <c r="G9" i="3"/>
  <c r="O9" i="3"/>
  <c r="K19" i="3"/>
  <c r="AM30" i="1"/>
  <c r="AT25" i="1"/>
  <c r="I56" i="4"/>
  <c r="O23" i="4"/>
  <c r="O30" i="4"/>
  <c r="O37" i="4"/>
  <c r="K9" i="3"/>
  <c r="G19" i="3"/>
  <c r="O19" i="3"/>
  <c r="AF30" i="1"/>
  <c r="BA45" i="1"/>
  <c r="T9" i="2"/>
  <c r="T28" i="2"/>
  <c r="T8" i="2"/>
  <c r="B14" i="3"/>
  <c r="T29" i="2"/>
  <c r="T27" i="2"/>
  <c r="T7" i="2"/>
  <c r="AY63" i="1"/>
  <c r="AS56" i="1"/>
  <c r="AT56" i="1" s="1"/>
  <c r="AZ56" i="1"/>
  <c r="BA56" i="1" s="1"/>
  <c r="K25" i="1"/>
  <c r="T22" i="2"/>
  <c r="T5" i="2"/>
  <c r="T12" i="2"/>
  <c r="T24" i="2"/>
  <c r="S25" i="2"/>
  <c r="Q9" i="2"/>
  <c r="S28" i="2"/>
  <c r="Q8" i="2"/>
  <c r="S17" i="2"/>
  <c r="S12" i="2"/>
  <c r="Q27" i="2"/>
  <c r="S24" i="2"/>
  <c r="S26" i="2"/>
  <c r="S13" i="2"/>
  <c r="Q5" i="2"/>
  <c r="S5" i="2"/>
  <c r="S10" i="2"/>
  <c r="S20" i="2"/>
  <c r="S9" i="2"/>
  <c r="S19" i="2"/>
  <c r="Q24" i="2"/>
  <c r="Q22" i="2"/>
  <c r="S14" i="2"/>
  <c r="S27" i="2"/>
  <c r="B16" i="3" s="1"/>
  <c r="Q12" i="2"/>
  <c r="S23" i="2"/>
  <c r="S6" i="2"/>
  <c r="S15" i="2"/>
  <c r="S11" i="2"/>
  <c r="S29" i="2"/>
  <c r="S18" i="2"/>
  <c r="S30" i="2"/>
  <c r="S7" i="2"/>
  <c r="S22" i="2"/>
  <c r="Q28" i="2"/>
  <c r="Q29" i="2"/>
  <c r="S8" i="2"/>
  <c r="B62" i="1" l="1"/>
  <c r="AZ65" i="1"/>
  <c r="K47" i="3"/>
  <c r="O51" i="3" s="1"/>
  <c r="U7" i="2"/>
  <c r="W8" i="2" s="1"/>
  <c r="U17" i="2"/>
  <c r="G47" i="3"/>
  <c r="E47" i="3"/>
  <c r="O57" i="4"/>
  <c r="I47" i="3"/>
  <c r="M47" i="3"/>
  <c r="U29" i="2"/>
  <c r="W29" i="2" s="1"/>
  <c r="U22" i="2"/>
  <c r="W23" i="2" s="1"/>
  <c r="U24" i="2"/>
  <c r="W25" i="2" s="1"/>
  <c r="U28" i="2"/>
  <c r="W28" i="2" s="1"/>
  <c r="U12" i="2"/>
  <c r="W13" i="2" s="1"/>
  <c r="U14" i="2"/>
  <c r="U27" i="2"/>
  <c r="W27" i="2" s="1"/>
  <c r="U9" i="2"/>
  <c r="W10" i="2" s="1"/>
  <c r="U8" i="2"/>
  <c r="U5" i="2"/>
  <c r="W6" i="2" s="1"/>
  <c r="W19" i="2" l="1"/>
  <c r="W21" i="2"/>
  <c r="W18" i="2"/>
  <c r="W17" i="2"/>
  <c r="W20" i="2"/>
  <c r="W7" i="2"/>
  <c r="W30" i="2"/>
  <c r="C49" i="3"/>
  <c r="W15" i="2"/>
  <c r="W16" i="2"/>
  <c r="R51" i="3"/>
  <c r="W26" i="2"/>
  <c r="R47" i="3"/>
  <c r="W24" i="2"/>
  <c r="W14" i="2"/>
  <c r="W22" i="2"/>
  <c r="W12" i="2"/>
  <c r="W11" i="2"/>
  <c r="W9" i="2"/>
  <c r="W5" i="2"/>
</calcChain>
</file>

<file path=xl/sharedStrings.xml><?xml version="1.0" encoding="utf-8"?>
<sst xmlns="http://schemas.openxmlformats.org/spreadsheetml/2006/main" count="641" uniqueCount="398">
  <si>
    <t>Department of Civil Engineering</t>
  </si>
  <si>
    <t>CVEG XXXX</t>
  </si>
  <si>
    <t>Fa</t>
  </si>
  <si>
    <t>Env Engr</t>
  </si>
  <si>
    <t>Sp</t>
  </si>
  <si>
    <t>Su</t>
  </si>
  <si>
    <t>Fall</t>
  </si>
  <si>
    <t>Spring</t>
  </si>
  <si>
    <t>MATH 2554</t>
  </si>
  <si>
    <t>MATH 2564</t>
  </si>
  <si>
    <t>INEG 2413</t>
  </si>
  <si>
    <t>Calculus I</t>
  </si>
  <si>
    <t>Calculus II</t>
  </si>
  <si>
    <t>Elective 1</t>
  </si>
  <si>
    <t>PHYS 2054</t>
  </si>
  <si>
    <t>CVEG 2002</t>
  </si>
  <si>
    <t>CVEG 4303</t>
  </si>
  <si>
    <t>U Phys I + Lab</t>
  </si>
  <si>
    <t>Plans &amp; CAD</t>
  </si>
  <si>
    <t>GNEG 1121</t>
  </si>
  <si>
    <t>CVEG 2113</t>
  </si>
  <si>
    <t>CVEG 3213</t>
  </si>
  <si>
    <t>CVEG 3243</t>
  </si>
  <si>
    <t xml:space="preserve">             </t>
  </si>
  <si>
    <t>CVEG 2053</t>
  </si>
  <si>
    <t>CVEG 3223</t>
  </si>
  <si>
    <t>CVEG 4143</t>
  </si>
  <si>
    <t>CVEG 4243</t>
  </si>
  <si>
    <t>Hydrology</t>
  </si>
  <si>
    <t>CVEG 2051L</t>
  </si>
  <si>
    <t>CVEG 3131L</t>
  </si>
  <si>
    <t>CVEG 4423</t>
  </si>
  <si>
    <t>Surv Sys Lab</t>
  </si>
  <si>
    <t>ENGL 1013</t>
  </si>
  <si>
    <t>CVEG 3413</t>
  </si>
  <si>
    <t>Comp I</t>
  </si>
  <si>
    <t>Tech Comp II</t>
  </si>
  <si>
    <t>hours</t>
  </si>
  <si>
    <t>hours taken</t>
  </si>
  <si>
    <t>Sem GPA</t>
  </si>
  <si>
    <t>CVEG 4513</t>
  </si>
  <si>
    <t>Elective</t>
  </si>
  <si>
    <t>BIOL 2013</t>
  </si>
  <si>
    <t>CHEM 1123</t>
  </si>
  <si>
    <t>PHYS 2074</t>
  </si>
  <si>
    <t>HIST 2003</t>
  </si>
  <si>
    <t>HIST 2013</t>
  </si>
  <si>
    <t>PLSC 2003</t>
  </si>
  <si>
    <t>Fresh Sci Elect</t>
  </si>
  <si>
    <t>Fine Arts</t>
  </si>
  <si>
    <t>ARCH 1003</t>
  </si>
  <si>
    <t>ARHS 1003</t>
  </si>
  <si>
    <t>COMM 1003</t>
  </si>
  <si>
    <t>DANC 1003</t>
  </si>
  <si>
    <t>LARC 1003</t>
  </si>
  <si>
    <t>MLIT 1003</t>
  </si>
  <si>
    <t>Humanities</t>
  </si>
  <si>
    <t>PHIL 2003</t>
  </si>
  <si>
    <t>PHIL 2103</t>
  </si>
  <si>
    <t>CLST 1003</t>
  </si>
  <si>
    <t>CLST 1013</t>
  </si>
  <si>
    <t>WLIT 1113</t>
  </si>
  <si>
    <t>WLIT 1123</t>
  </si>
  <si>
    <t>HUMN 1124H</t>
  </si>
  <si>
    <t>ARCH 1013</t>
  </si>
  <si>
    <t>US Hist/Gov</t>
  </si>
  <si>
    <t>Social Science I</t>
  </si>
  <si>
    <t>AGEC 1103</t>
  </si>
  <si>
    <t>AGEC 2103</t>
  </si>
  <si>
    <t>ANTH 1023</t>
  </si>
  <si>
    <t>ECON 2013</t>
  </si>
  <si>
    <t>ECON 2023</t>
  </si>
  <si>
    <t>ECON 2143</t>
  </si>
  <si>
    <t>HIST 1113</t>
  </si>
  <si>
    <t>HIST 1123</t>
  </si>
  <si>
    <t>HUMN 1114H</t>
  </si>
  <si>
    <t>HUMN 2114H</t>
  </si>
  <si>
    <t>PLSC 2013</t>
  </si>
  <si>
    <t>PLSC 2203</t>
  </si>
  <si>
    <t>PSYC 2003</t>
  </si>
  <si>
    <t>SOCI 2013</t>
  </si>
  <si>
    <t>SOCI 2033</t>
  </si>
  <si>
    <t>Social Science</t>
  </si>
  <si>
    <t>US History</t>
  </si>
  <si>
    <t>Social Science 2</t>
  </si>
  <si>
    <t>Social Science 3</t>
  </si>
  <si>
    <t>Envir Eng Dsn</t>
  </si>
  <si>
    <t xml:space="preserve">CVEG Dsgn </t>
  </si>
  <si>
    <t>MEEG 2013</t>
  </si>
  <si>
    <t>MEEG 2403</t>
  </si>
  <si>
    <t>CE</t>
  </si>
  <si>
    <t>CVEG 4313</t>
  </si>
  <si>
    <t>CVEG 4XXX</t>
  </si>
  <si>
    <t>MATH 2584</t>
  </si>
  <si>
    <t>Sem</t>
  </si>
  <si>
    <t>Comments &amp; Transfer</t>
  </si>
  <si>
    <t>Engr</t>
  </si>
  <si>
    <t>Hum</t>
  </si>
  <si>
    <t>Technical Electives -12 Cr.</t>
  </si>
  <si>
    <t>A</t>
  </si>
  <si>
    <t>B</t>
  </si>
  <si>
    <t>C</t>
  </si>
  <si>
    <t>D</t>
  </si>
  <si>
    <t>T</t>
  </si>
  <si>
    <t>Info. Course/School</t>
  </si>
  <si>
    <t>Math</t>
  </si>
  <si>
    <t>Sci</t>
  </si>
  <si>
    <t>Des</t>
  </si>
  <si>
    <t>Soc</t>
  </si>
  <si>
    <t>Other</t>
  </si>
  <si>
    <t>1.</t>
  </si>
  <si>
    <t>2.</t>
  </si>
  <si>
    <t>3.</t>
  </si>
  <si>
    <t>4.</t>
  </si>
  <si>
    <t>Humanities and Social Science Electives - 18 Cr.</t>
  </si>
  <si>
    <t>(Hist/Gov)</t>
  </si>
  <si>
    <t>5.</t>
  </si>
  <si>
    <t>6.</t>
  </si>
  <si>
    <t>7.</t>
  </si>
  <si>
    <t>Totals</t>
  </si>
  <si>
    <t>Courses to be completed after degree check:</t>
  </si>
  <si>
    <t>8.</t>
  </si>
  <si>
    <t>Other:</t>
  </si>
  <si>
    <t>9.</t>
  </si>
  <si>
    <t>10.</t>
  </si>
  <si>
    <t>11.</t>
  </si>
  <si>
    <t>12.</t>
  </si>
  <si>
    <t>13.</t>
  </si>
  <si>
    <t>14.</t>
  </si>
  <si>
    <t xml:space="preserve">Exit Interview Completed </t>
  </si>
  <si>
    <t>Curriculum requirements completed subject to satisfactory completion of courses listed above:</t>
  </si>
  <si>
    <t>Advisor's Signature</t>
  </si>
  <si>
    <t>Date</t>
  </si>
  <si>
    <t>Student's approval of above degree requirements:</t>
  </si>
  <si>
    <t>Student's Signature</t>
  </si>
  <si>
    <t>GENERAL UNIVERSITY REQUIREMENTS (Checked and approved by Dean's Office)</t>
  </si>
  <si>
    <t>Credit Hour Totals:</t>
  </si>
  <si>
    <t>Curriculum GPA:</t>
  </si>
  <si>
    <t>Total Credits:</t>
  </si>
  <si>
    <t>UAF-GPA:</t>
  </si>
  <si>
    <t>American History / Gov. fulfilled?</t>
  </si>
  <si>
    <t>Hours of "D"?</t>
  </si>
  <si>
    <t>Percent of total UAF hours?</t>
  </si>
  <si>
    <t>Is student on probation?</t>
  </si>
  <si>
    <t>CLEARED FOR GRADUATION:</t>
  </si>
  <si>
    <t>Signature</t>
  </si>
  <si>
    <t xml:space="preserve"> </t>
  </si>
  <si>
    <t>Last</t>
  </si>
  <si>
    <t>First</t>
  </si>
  <si>
    <t>Middle</t>
  </si>
  <si>
    <t>Student ID / P-Number</t>
  </si>
  <si>
    <t>Advisor</t>
  </si>
  <si>
    <t>Graduation Date</t>
  </si>
  <si>
    <t>Key:</t>
  </si>
  <si>
    <t xml:space="preserve">001 = Spring    </t>
  </si>
  <si>
    <t xml:space="preserve">003 = Fall </t>
  </si>
  <si>
    <t>Spr</t>
  </si>
  <si>
    <t>Sum</t>
  </si>
  <si>
    <t>Year</t>
  </si>
  <si>
    <t xml:space="preserve">002 = Summer </t>
  </si>
  <si>
    <t>T     = Transfer</t>
  </si>
  <si>
    <t>Required Courses - 98 cr</t>
  </si>
  <si>
    <t>MATH 2554 Calculus I</t>
  </si>
  <si>
    <t>GNEG 1111 Intro Engr I</t>
  </si>
  <si>
    <t>MATH 2564 Calculus II</t>
  </si>
  <si>
    <t>CVEG 2053 Surveying Syst</t>
  </si>
  <si>
    <t xml:space="preserve">CVEG 2113 Struc Materials </t>
  </si>
  <si>
    <t>CVEG 3213 Hydraulics</t>
  </si>
  <si>
    <t>CVEG 3223 Hydrology</t>
  </si>
  <si>
    <t>CVEG 3304 Struct Analysis</t>
  </si>
  <si>
    <t>CVEG 3243 Envir Engr</t>
  </si>
  <si>
    <t>CVEG 4143 Found Engr</t>
  </si>
  <si>
    <t>CVEG 4303  Rein Concrete I</t>
  </si>
  <si>
    <t>CVEG 4243 Env Engr Design</t>
  </si>
  <si>
    <t>CVEG 4513 Constr Mgmt</t>
  </si>
  <si>
    <t>GNEG 1111 Intro Engr II</t>
  </si>
  <si>
    <t>CVEG 2002 Plans and CAD</t>
  </si>
  <si>
    <t>CVEG 4423 Geometric Design</t>
  </si>
  <si>
    <t>INEG   2413 Engineering Econ</t>
  </si>
  <si>
    <t>CVEG 48?2 Design Elective I</t>
  </si>
  <si>
    <t>CVEG 48?2 Design Elective II</t>
  </si>
  <si>
    <t>CVEG 3131 Soil Mech Lab</t>
  </si>
  <si>
    <t>Social Science1</t>
  </si>
  <si>
    <t>Social Science2</t>
  </si>
  <si>
    <t>Social Science3</t>
  </si>
  <si>
    <t>(128 required)</t>
  </si>
  <si>
    <t>ENGL 1013 Composition I</t>
  </si>
  <si>
    <t>MLIT 1013</t>
  </si>
  <si>
    <t>COMM 1233</t>
  </si>
  <si>
    <t>COMM 1023</t>
  </si>
  <si>
    <t>CHEM 1103</t>
  </si>
  <si>
    <t>MATH 2574</t>
  </si>
  <si>
    <t>Calculus III</t>
  </si>
  <si>
    <t>GEOS 1113</t>
  </si>
  <si>
    <t>CVEG 2851</t>
  </si>
  <si>
    <t>CVEG 3303</t>
  </si>
  <si>
    <t>THTR 1003</t>
  </si>
  <si>
    <t>THTR 1013</t>
  </si>
  <si>
    <t>AAST 2023</t>
  </si>
  <si>
    <t>ENGL 1213</t>
  </si>
  <si>
    <t>GNST 2003</t>
  </si>
  <si>
    <t>MUSY 2003</t>
  </si>
  <si>
    <t>GEOS 1123</t>
  </si>
  <si>
    <t>GEOS 2003</t>
  </si>
  <si>
    <t>STEM</t>
  </si>
  <si>
    <t>STEM Elective</t>
  </si>
  <si>
    <t>MATH 2574 Calculus III</t>
  </si>
  <si>
    <t>CVEG 2851 Prof Pract Issues</t>
  </si>
  <si>
    <t>CHEM 1103 U Chem  I</t>
  </si>
  <si>
    <t>Core Requirements - satisfied?</t>
  </si>
  <si>
    <t>GEOS 3514</t>
  </si>
  <si>
    <t>ENGL 1033</t>
  </si>
  <si>
    <t>ENGL 1033 Tech Comp II</t>
  </si>
  <si>
    <t>GEOS 1111L</t>
  </si>
  <si>
    <t>CVEG 3132</t>
  </si>
  <si>
    <t>CVEG 2013</t>
  </si>
  <si>
    <t>CVEG 2023</t>
  </si>
  <si>
    <t>BIOL 1543</t>
  </si>
  <si>
    <t>CVEG 4890</t>
  </si>
  <si>
    <t>MLIT 1333</t>
  </si>
  <si>
    <t>MRST 2013</t>
  </si>
  <si>
    <t>HDFS 1403</t>
  </si>
  <si>
    <t>HDFS 2413</t>
  </si>
  <si>
    <t>HDFS 2603</t>
  </si>
  <si>
    <t>CVEG 2051L Surv Syst Lab</t>
  </si>
  <si>
    <t>CVEG 2013 CE Mech I</t>
  </si>
  <si>
    <t>CVEG 2023 CE Mech II</t>
  </si>
  <si>
    <t>MATH 2584 Diff Equations</t>
  </si>
  <si>
    <t>Project Elective 1</t>
  </si>
  <si>
    <t>Elective 2</t>
  </si>
  <si>
    <t>CVEG Elective 3</t>
  </si>
  <si>
    <t>CVEG Elective 1</t>
  </si>
  <si>
    <t>CVEG Elective 2</t>
  </si>
  <si>
    <t>CVEG 4323 Str Ldg</t>
  </si>
  <si>
    <t>RESM 2853</t>
  </si>
  <si>
    <t>HIST 2093</t>
  </si>
  <si>
    <t>LATN 2XXX</t>
  </si>
  <si>
    <t>PORT 2XXX</t>
  </si>
  <si>
    <t>SWAH 2XXX</t>
  </si>
  <si>
    <t>SPAN 2XXX</t>
  </si>
  <si>
    <t>RUSS 2XXX</t>
  </si>
  <si>
    <t>JAPN 2XXX</t>
  </si>
  <si>
    <t>ITAL 2XXX</t>
  </si>
  <si>
    <t>GREK 2XXX</t>
  </si>
  <si>
    <t>GERM 2XXX</t>
  </si>
  <si>
    <t>FREN 2XXX</t>
  </si>
  <si>
    <t>CHIN 2XXX</t>
  </si>
  <si>
    <t>ARAB 2XXX</t>
  </si>
  <si>
    <t xml:space="preserve">Degree Check List - Civil Engineering </t>
  </si>
  <si>
    <t>CVEG 3132 Soil Mechanics</t>
  </si>
  <si>
    <t>Phys Geol Lab</t>
  </si>
  <si>
    <t>Science Elective</t>
  </si>
  <si>
    <t>Science Lab</t>
  </si>
  <si>
    <t>GEOS 1113 Phys Geology</t>
  </si>
  <si>
    <t>GEOS 1111L Phys Geology Lab</t>
  </si>
  <si>
    <t>Science Elective Lab</t>
  </si>
  <si>
    <t xml:space="preserve">Program hours taken =  </t>
  </si>
  <si>
    <t xml:space="preserve">Program GPA =  </t>
  </si>
  <si>
    <t>GNEG 1111</t>
  </si>
  <si>
    <t>D Hours =</t>
  </si>
  <si>
    <t>INEG 3313</t>
  </si>
  <si>
    <t>INEG 3313 Engr Statistics</t>
  </si>
  <si>
    <t>ENGL 2023</t>
  </si>
  <si>
    <t>Added ENGL 2023 to Arts list</t>
  </si>
  <si>
    <t>EVF</t>
  </si>
  <si>
    <t>Added ANTH 1033 to humanities list</t>
  </si>
  <si>
    <t>ANTH 1033</t>
  </si>
  <si>
    <t>Changed HUMN 2124H to HUMN 2213 in humanities list to match current state core</t>
  </si>
  <si>
    <t>HUMN 2213</t>
  </si>
  <si>
    <t>Changed PHIL 2203 to PHIL 2303 since 2203 does not satisfy Gen Ed 3.2</t>
  </si>
  <si>
    <t>PHIL 2303</t>
  </si>
  <si>
    <t>Deleted PHIL 3103 since it does not satisfy GenEd 3.2</t>
  </si>
  <si>
    <t>2022-2023 Catalog</t>
  </si>
  <si>
    <t>CVEG 3413 Transp Systems</t>
  </si>
  <si>
    <t>Corrected B13 on Page 2 to include Spanish and Swahili, otherwise it returns Russian</t>
  </si>
  <si>
    <t>Last Name</t>
  </si>
  <si>
    <t>First Name</t>
  </si>
  <si>
    <t>ID Number</t>
  </si>
  <si>
    <t>Course Name</t>
  </si>
  <si>
    <t>Surveying Systems</t>
  </si>
  <si>
    <t>Structural Materials</t>
  </si>
  <si>
    <t>Soil Mechanics</t>
  </si>
  <si>
    <t>Soil Mechanics Lab</t>
  </si>
  <si>
    <t>Hydraulics</t>
  </si>
  <si>
    <t>Structural Analysis</t>
  </si>
  <si>
    <t>Transportation Systems</t>
  </si>
  <si>
    <t>Environmental Eng. Design</t>
  </si>
  <si>
    <t>Transportation Infrastructure</t>
  </si>
  <si>
    <t>Construction Management</t>
  </si>
  <si>
    <t>Design Project 1</t>
  </si>
  <si>
    <t>Design Project 2</t>
  </si>
  <si>
    <t>Intro to Engineering 1</t>
  </si>
  <si>
    <t>Intro to Engineering 2</t>
  </si>
  <si>
    <t>Composition 1</t>
  </si>
  <si>
    <t>Technical Composition 2</t>
  </si>
  <si>
    <t>Calculus 1</t>
  </si>
  <si>
    <t>Calculus 2</t>
  </si>
  <si>
    <t>Calculus 3</t>
  </si>
  <si>
    <t>Physical Geology</t>
  </si>
  <si>
    <t>Physical Geology Lab</t>
  </si>
  <si>
    <t>University Chemistry 1</t>
  </si>
  <si>
    <t>University Physics 1</t>
  </si>
  <si>
    <t>US History or Government</t>
  </si>
  <si>
    <t>Fine Art</t>
  </si>
  <si>
    <t>Humanity</t>
  </si>
  <si>
    <t>Social Science 1</t>
  </si>
  <si>
    <t>Term</t>
  </si>
  <si>
    <t>Grade</t>
  </si>
  <si>
    <t>Hours</t>
  </si>
  <si>
    <t>Approved</t>
  </si>
  <si>
    <t>Required CVEG Courses</t>
  </si>
  <si>
    <t>CVEG Elective Courses</t>
  </si>
  <si>
    <t>Other Engineering</t>
  </si>
  <si>
    <t>Other Required Courses and Electives</t>
  </si>
  <si>
    <t>State Core</t>
  </si>
  <si>
    <t>Totals:</t>
  </si>
  <si>
    <t>Program GPA &gt; 2?</t>
  </si>
  <si>
    <t>UofA GPA &gt;2?</t>
  </si>
  <si>
    <t>128 hours?</t>
  </si>
  <si>
    <t>'D' Hours &lt; 9?</t>
  </si>
  <si>
    <t>CVEG Department Approval</t>
  </si>
  <si>
    <t>Dean's Office Approval</t>
  </si>
  <si>
    <t>hide</t>
  </si>
  <si>
    <t>Project Elective 2</t>
  </si>
  <si>
    <t>CSCE 2004</t>
  </si>
  <si>
    <t>ELEG 3903</t>
  </si>
  <si>
    <t>GNEG 3113</t>
  </si>
  <si>
    <t>MEEG 2703</t>
  </si>
  <si>
    <t>GEOS 3023</t>
  </si>
  <si>
    <t>GEOS 3543</t>
  </si>
  <si>
    <t>GEOS 4533</t>
  </si>
  <si>
    <t>MATH 3083</t>
  </si>
  <si>
    <t>MATH 4363</t>
  </si>
  <si>
    <t>First Year</t>
  </si>
  <si>
    <t>Second Year</t>
  </si>
  <si>
    <t>Third Year</t>
  </si>
  <si>
    <t>Fourth Year</t>
  </si>
  <si>
    <t>Environmental</t>
  </si>
  <si>
    <t>Geotechnical</t>
  </si>
  <si>
    <t>Structural</t>
  </si>
  <si>
    <t>Transportation</t>
  </si>
  <si>
    <t>Phys Geology</t>
  </si>
  <si>
    <t>Surveying Sys</t>
  </si>
  <si>
    <t>Prof Practice</t>
  </si>
  <si>
    <t>Concrete Dsn I</t>
  </si>
  <si>
    <t>Envir. Engr</t>
  </si>
  <si>
    <t>Civil Elective 1</t>
  </si>
  <si>
    <t>Design Project I</t>
  </si>
  <si>
    <t>Foundation Dsn</t>
  </si>
  <si>
    <t>FE Seminar</t>
  </si>
  <si>
    <t>Construct Mgmt</t>
  </si>
  <si>
    <t>Design Project II</t>
  </si>
  <si>
    <t>Civil Elective 2</t>
  </si>
  <si>
    <t>Civil Elective 3</t>
  </si>
  <si>
    <t>Intro to Engin I</t>
  </si>
  <si>
    <t>Intro to Engin II</t>
  </si>
  <si>
    <t>U Chemistry I</t>
  </si>
  <si>
    <t>Mechanics I</t>
  </si>
  <si>
    <t>Mechanics II</t>
  </si>
  <si>
    <t>Structural Mtls</t>
  </si>
  <si>
    <t>Struct Analysis</t>
  </si>
  <si>
    <t>HIDE</t>
  </si>
  <si>
    <t>General Education Outcome</t>
  </si>
  <si>
    <t>Satisfied by Course</t>
  </si>
  <si>
    <t>Semester</t>
  </si>
  <si>
    <t>COMM 1313</t>
  </si>
  <si>
    <t>STEM 2003</t>
  </si>
  <si>
    <t>LARC 1325</t>
  </si>
  <si>
    <t>Lots of 3000 &amp; 4000 level courses also</t>
  </si>
  <si>
    <t>All 11 fine arts in our dropdown list satisfy 3.1</t>
  </si>
  <si>
    <t>All humanities in our dropdown list satisfy 3.2 EXCEPT NOT ALL LANGUAGES</t>
  </si>
  <si>
    <t>All 3 state core history courses satisfy 3.3</t>
  </si>
  <si>
    <t>Must fill in manually</t>
  </si>
  <si>
    <t>CE Plans and CADD</t>
  </si>
  <si>
    <t>CE Mechanics 1</t>
  </si>
  <si>
    <t>CE Mechanics 2</t>
  </si>
  <si>
    <t>Surveying Systems Lab</t>
  </si>
  <si>
    <t>Professional Practice Issues</t>
  </si>
  <si>
    <t>Environmental Engineering</t>
  </si>
  <si>
    <t>Foundations Engineering</t>
  </si>
  <si>
    <t>Reinforced Concrete Design 1</t>
  </si>
  <si>
    <t>Eng. Probability and Statistics</t>
  </si>
  <si>
    <t>Elem. Differential Equations</t>
  </si>
  <si>
    <t>Substitute</t>
  </si>
  <si>
    <t>Built a new degree audit page</t>
  </si>
  <si>
    <t>Engineering Economic Analysis</t>
  </si>
  <si>
    <t>FE Seminar (Sat for the FE Exam)</t>
  </si>
  <si>
    <t>CVEG 4812 E</t>
  </si>
  <si>
    <t>CVEG 4822 G</t>
  </si>
  <si>
    <t>CVEG 4832 S</t>
  </si>
  <si>
    <t>CVEG 4842 T</t>
  </si>
  <si>
    <t>Residency &gt; 30 hours?</t>
  </si>
  <si>
    <t>Transport Sys.</t>
  </si>
  <si>
    <t>Transport Infra.</t>
  </si>
  <si>
    <t>Diff. Equations</t>
  </si>
  <si>
    <t>Eng. Statistics</t>
  </si>
  <si>
    <t>Eng. Econ. An.</t>
  </si>
  <si>
    <t>Soil Mech.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</si>
</sst>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000"/>
  </numFmts>
  <fonts count="2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4"/>
      <name val="Arial"/>
      <family val="2"/>
    </font>
    <font>
      <sz val="12"/>
      <color indexed="55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sz val="12"/>
      <color rgb="FFC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0"/>
      <color rgb="FFC00000"/>
      <name val="Arial"/>
      <family val="2"/>
    </font>
    <font>
      <sz val="12"/>
      <color theme="6" tint="-0.249977111117893"/>
      <name val="Arial"/>
      <family val="2"/>
    </font>
    <font>
      <sz val="36"/>
      <name val="Imprint MT Shadow"/>
      <family val="5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9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6" xfId="0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" fillId="0" borderId="0" xfId="1"/>
    <xf numFmtId="0" fontId="1" fillId="0" borderId="0" xfId="1" applyAlignment="1">
      <alignment vertical="top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4" fillId="0" borderId="0" xfId="0" applyFont="1"/>
    <xf numFmtId="0" fontId="1" fillId="0" borderId="0" xfId="0" applyFont="1"/>
    <xf numFmtId="0" fontId="1" fillId="0" borderId="0" xfId="1" applyAlignment="1">
      <alignment horizontal="center" vertical="top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0" xfId="0" applyFont="1" applyFill="1"/>
    <xf numFmtId="0" fontId="4" fillId="0" borderId="0" xfId="1" applyFont="1"/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right"/>
      <protection locked="0"/>
    </xf>
    <xf numFmtId="0" fontId="9" fillId="0" borderId="0" xfId="2" applyFont="1"/>
    <xf numFmtId="0" fontId="8" fillId="0" borderId="0" xfId="2"/>
    <xf numFmtId="0" fontId="9" fillId="0" borderId="0" xfId="2" applyFont="1" applyAlignment="1">
      <alignment horizontal="center"/>
    </xf>
    <xf numFmtId="0" fontId="9" fillId="0" borderId="0" xfId="2" quotePrefix="1" applyFont="1"/>
    <xf numFmtId="0" fontId="9" fillId="0" borderId="6" xfId="2" applyFont="1" applyBorder="1"/>
    <xf numFmtId="0" fontId="9" fillId="0" borderId="14" xfId="2" applyFont="1" applyBorder="1"/>
    <xf numFmtId="0" fontId="9" fillId="0" borderId="6" xfId="2" applyFont="1" applyBorder="1" applyAlignment="1">
      <alignment horizontal="left"/>
    </xf>
    <xf numFmtId="0" fontId="9" fillId="0" borderId="0" xfId="2" applyFont="1" applyAlignment="1">
      <alignment horizontal="right"/>
    </xf>
    <xf numFmtId="0" fontId="9" fillId="0" borderId="6" xfId="2" applyFont="1" applyBorder="1" applyAlignment="1">
      <alignment horizontal="right"/>
    </xf>
    <xf numFmtId="0" fontId="7" fillId="0" borderId="0" xfId="2" applyFont="1"/>
    <xf numFmtId="0" fontId="9" fillId="0" borderId="0" xfId="2" quotePrefix="1" applyFont="1" applyAlignment="1">
      <alignment horizontal="right"/>
    </xf>
    <xf numFmtId="0" fontId="9" fillId="0" borderId="6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/>
    <xf numFmtId="0" fontId="12" fillId="0" borderId="6" xfId="2" applyFont="1" applyBorder="1"/>
    <xf numFmtId="0" fontId="9" fillId="0" borderId="6" xfId="2" quotePrefix="1" applyFont="1" applyBorder="1" applyAlignment="1">
      <alignment horizontal="right"/>
    </xf>
    <xf numFmtId="0" fontId="9" fillId="0" borderId="6" xfId="1" applyFont="1" applyBorder="1"/>
    <xf numFmtId="0" fontId="7" fillId="0" borderId="0" xfId="0" applyFont="1" applyAlignment="1" applyProtection="1">
      <alignment vertical="top" wrapText="1"/>
      <protection locked="0"/>
    </xf>
    <xf numFmtId="0" fontId="1" fillId="5" borderId="3" xfId="0" applyFont="1" applyFill="1" applyBorder="1" applyAlignment="1" applyProtection="1">
      <alignment horizontal="left"/>
      <protection locked="0"/>
    </xf>
    <xf numFmtId="0" fontId="9" fillId="0" borderId="0" xfId="1" applyFont="1"/>
    <xf numFmtId="0" fontId="9" fillId="0" borderId="8" xfId="2" applyFont="1" applyBorder="1"/>
    <xf numFmtId="0" fontId="20" fillId="0" borderId="0" xfId="1" applyFont="1" applyAlignment="1">
      <alignment vertical="top"/>
    </xf>
    <xf numFmtId="0" fontId="20" fillId="0" borderId="0" xfId="0" applyFont="1"/>
    <xf numFmtId="0" fontId="7" fillId="0" borderId="0" xfId="2" quotePrefix="1" applyFont="1"/>
    <xf numFmtId="0" fontId="19" fillId="0" borderId="0" xfId="2" applyFont="1"/>
    <xf numFmtId="0" fontId="18" fillId="0" borderId="0" xfId="0" applyFont="1"/>
    <xf numFmtId="0" fontId="4" fillId="0" borderId="0" xfId="1" applyFont="1" applyAlignment="1">
      <alignment horizontal="left"/>
    </xf>
    <xf numFmtId="0" fontId="1" fillId="6" borderId="5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7" borderId="0" xfId="0" applyFill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quotePrefix="1" applyFont="1" applyAlignment="1">
      <alignment horizontal="right"/>
    </xf>
    <xf numFmtId="2" fontId="23" fillId="0" borderId="0" xfId="0" applyNumberFormat="1" applyFont="1" applyAlignment="1">
      <alignment horizontal="center"/>
    </xf>
    <xf numFmtId="0" fontId="0" fillId="7" borderId="24" xfId="0" applyFill="1" applyBorder="1"/>
    <xf numFmtId="0" fontId="0" fillId="0" borderId="25" xfId="0" applyBorder="1"/>
    <xf numFmtId="0" fontId="0" fillId="0" borderId="26" xfId="0" applyBorder="1"/>
    <xf numFmtId="0" fontId="0" fillId="7" borderId="25" xfId="0" applyFill="1" applyBorder="1"/>
    <xf numFmtId="0" fontId="0" fillId="7" borderId="25" xfId="0" applyFill="1" applyBorder="1" applyAlignment="1">
      <alignment textRotation="90" wrapText="1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/>
    <xf numFmtId="0" fontId="0" fillId="7" borderId="16" xfId="0" applyFill="1" applyBorder="1"/>
    <xf numFmtId="0" fontId="0" fillId="7" borderId="8" xfId="0" applyFill="1" applyBorder="1"/>
    <xf numFmtId="0" fontId="0" fillId="7" borderId="17" xfId="0" applyFill="1" applyBorder="1"/>
    <xf numFmtId="0" fontId="0" fillId="0" borderId="9" xfId="0" applyBorder="1" applyAlignment="1">
      <alignment horizontal="center"/>
    </xf>
    <xf numFmtId="0" fontId="0" fillId="0" borderId="18" xfId="0" applyBorder="1"/>
    <xf numFmtId="0" fontId="0" fillId="7" borderId="9" xfId="0" applyFill="1" applyBorder="1" applyAlignment="1">
      <alignment horizontal="center"/>
    </xf>
    <xf numFmtId="0" fontId="0" fillId="7" borderId="0" xfId="0" applyFill="1"/>
    <xf numFmtId="0" fontId="0" fillId="7" borderId="18" xfId="0" applyFill="1" applyBorder="1"/>
    <xf numFmtId="0" fontId="0" fillId="7" borderId="7" xfId="0" applyFill="1" applyBorder="1"/>
    <xf numFmtId="0" fontId="0" fillId="7" borderId="6" xfId="0" applyFill="1" applyBorder="1"/>
    <xf numFmtId="0" fontId="0" fillId="7" borderId="5" xfId="0" applyFill="1" applyBorder="1"/>
    <xf numFmtId="0" fontId="0" fillId="7" borderId="24" xfId="0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0" fillId="0" borderId="8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5" fontId="1" fillId="0" borderId="0" xfId="0" applyNumberFormat="1" applyFont="1" applyAlignment="1" applyProtection="1">
      <alignment horizontal="center"/>
      <protection locked="0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1" fillId="3" borderId="7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 applyProtection="1">
      <alignment horizontal="left"/>
      <protection locked="0"/>
    </xf>
    <xf numFmtId="0" fontId="1" fillId="3" borderId="5" xfId="0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25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165" fontId="23" fillId="0" borderId="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2" applyFont="1" applyAlignment="1">
      <alignment horizontal="center"/>
    </xf>
    <xf numFmtId="0" fontId="18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E8B4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3" dropStyle="combo" dx="16" fmlaLink="$O$53" fmlaRange="Page3!$F$3:$F$14" noThreeD="1" sel="1" val="0"/>
</file>

<file path=xl/ctrlProps/ctrlProp10.xml><?xml version="1.0" encoding="utf-8"?>
<formControlPr xmlns="http://schemas.microsoft.com/office/spreadsheetml/2009/9/main" objectType="Drop" dropLines="5" dropStyle="combo" dx="16" fmlaLink="$AQ$28" fmlaRange="Page3!$B$32:$B$36" noThreeD="1" sel="1" val="0"/>
</file>

<file path=xl/ctrlProps/ctrlProp11.xml><?xml version="1.0" encoding="utf-8"?>
<formControlPr xmlns="http://schemas.microsoft.com/office/spreadsheetml/2009/9/main" objectType="Drop" dropLines="5" dropStyle="combo" dx="16" fmlaLink="$AX$28" fmlaRange="Page3!$B$38:$B$42" noThreeD="1" sel="1" val="0"/>
</file>

<file path=xl/ctrlProps/ctrlProp12.xml><?xml version="1.0" encoding="utf-8"?>
<formControlPr xmlns="http://schemas.microsoft.com/office/spreadsheetml/2009/9/main" objectType="Drop" dropLines="3" dropStyle="combo" dx="16" fmlaLink="$AX$33" fmlaRange="Page3!$F$21:$F$23" noThreeD="1" sel="1" val="0"/>
</file>

<file path=xl/ctrlProps/ctrlProp2.xml><?xml version="1.0" encoding="utf-8"?>
<formControlPr xmlns="http://schemas.microsoft.com/office/spreadsheetml/2009/9/main" objectType="Drop" dropLines="27" dropStyle="combo" dx="16" fmlaLink="$AJ$53" fmlaRange="Page3!$P$4:$P$30" noThreeD="1" sel="1" val="0"/>
</file>

<file path=xl/ctrlProps/ctrlProp3.xml><?xml version="1.0" encoding="utf-8"?>
<formControlPr xmlns="http://schemas.microsoft.com/office/spreadsheetml/2009/9/main" objectType="Drop" dropLines="4" dropStyle="combo" dx="16" fmlaLink="$H$53" fmlaRange="Page3!$B$11:$B$14" noThreeD="1" sel="1" val="0"/>
</file>

<file path=xl/ctrlProps/ctrlProp4.xml><?xml version="1.0" encoding="utf-8"?>
<formControlPr xmlns="http://schemas.microsoft.com/office/spreadsheetml/2009/9/main" objectType="Drop" dropLines="6" dropStyle="combo" dx="16" fmlaLink="$V$43" fmlaRange="Page3!$B$3:$B$8" noThreeD="1" sel="1" val="0"/>
</file>

<file path=xl/ctrlProps/ctrlProp5.xml><?xml version="1.0" encoding="utf-8"?>
<formControlPr xmlns="http://schemas.microsoft.com/office/spreadsheetml/2009/9/main" objectType="Drop" dropLines="13" dropStyle="combo" dx="16" fmlaLink="$AC$38" fmlaRange="Page3!$B$17:$B$29" noThreeD="1" sel="1" val="0"/>
</file>

<file path=xl/ctrlProps/ctrlProp6.xml><?xml version="1.0" encoding="utf-8"?>
<formControlPr xmlns="http://schemas.microsoft.com/office/spreadsheetml/2009/9/main" objectType="Drop" dropLines="27" dropStyle="combo" dx="16" fmlaLink="$AQ$53" fmlaRange="Page3!$S$4:$S$30" noThreeD="1" sel="1" val="0"/>
</file>

<file path=xl/ctrlProps/ctrlProp7.xml><?xml version="1.0" encoding="utf-8"?>
<formControlPr xmlns="http://schemas.microsoft.com/office/spreadsheetml/2009/9/main" objectType="Drop" dropLines="27" dropStyle="combo" dx="16" fmlaLink="$AX$53" fmlaRange="Page3!$W$4:$W$30" noThreeD="1" sel="1" val="0"/>
</file>

<file path=xl/ctrlProps/ctrlProp8.xml><?xml version="1.0" encoding="utf-8"?>
<formControlPr xmlns="http://schemas.microsoft.com/office/spreadsheetml/2009/9/main" objectType="Drop" dropLines="3" dropStyle="combo" dx="16" fmlaLink="$AQ$23" fmlaRange="Page3!$F$17:$F$19" noThreeD="1" sel="1" val="0"/>
</file>

<file path=xl/ctrlProps/ctrlProp9.xml><?xml version="1.0" encoding="utf-8"?>
<formControlPr xmlns="http://schemas.microsoft.com/office/spreadsheetml/2009/9/main" objectType="Drop" dropLines="43" dropStyle="combo" dx="16" fmlaLink="$AQ$48" fmlaRange="Page3!$J$3:$J$3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22</xdr:row>
      <xdr:rowOff>104775</xdr:rowOff>
    </xdr:from>
    <xdr:to>
      <xdr:col>7</xdr:col>
      <xdr:colOff>9525</xdr:colOff>
      <xdr:row>22</xdr:row>
      <xdr:rowOff>104775</xdr:rowOff>
    </xdr:to>
    <xdr:sp macro="" textlink="">
      <xdr:nvSpPr>
        <xdr:cNvPr id="1253" name="Line 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ShapeType="1"/>
        </xdr:cNvSpPr>
      </xdr:nvSpPr>
      <xdr:spPr bwMode="auto">
        <a:xfrm>
          <a:off x="1533525" y="4248150"/>
          <a:ext cx="5905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276225</xdr:colOff>
      <xdr:row>20</xdr:row>
      <xdr:rowOff>95250</xdr:rowOff>
    </xdr:from>
    <xdr:to>
      <xdr:col>27</xdr:col>
      <xdr:colOff>88900</xdr:colOff>
      <xdr:row>20</xdr:row>
      <xdr:rowOff>95250</xdr:rowOff>
    </xdr:to>
    <xdr:sp macro="" textlink="">
      <xdr:nvSpPr>
        <xdr:cNvPr id="1254" name="Line 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ShapeType="1"/>
        </xdr:cNvSpPr>
      </xdr:nvSpPr>
      <xdr:spPr bwMode="auto">
        <a:xfrm>
          <a:off x="1800225" y="3848100"/>
          <a:ext cx="63468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22</xdr:row>
      <xdr:rowOff>101600</xdr:rowOff>
    </xdr:from>
    <xdr:to>
      <xdr:col>13</xdr:col>
      <xdr:colOff>288925</xdr:colOff>
      <xdr:row>22</xdr:row>
      <xdr:rowOff>101600</xdr:rowOff>
    </xdr:to>
    <xdr:sp macro="" textlink="">
      <xdr:nvSpPr>
        <xdr:cNvPr id="1255" name="Line 5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ShapeType="1"/>
        </xdr:cNvSpPr>
      </xdr:nvSpPr>
      <xdr:spPr bwMode="auto">
        <a:xfrm flipV="1">
          <a:off x="3594100" y="4267200"/>
          <a:ext cx="5810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95250</xdr:colOff>
      <xdr:row>35</xdr:row>
      <xdr:rowOff>95248</xdr:rowOff>
    </xdr:from>
    <xdr:to>
      <xdr:col>47</xdr:col>
      <xdr:colOff>159258</xdr:colOff>
      <xdr:row>35</xdr:row>
      <xdr:rowOff>95249</xdr:rowOff>
    </xdr:to>
    <xdr:sp macro="" textlink="">
      <xdr:nvSpPr>
        <xdr:cNvPr id="1256" name="Line 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ShapeType="1"/>
        </xdr:cNvSpPr>
      </xdr:nvSpPr>
      <xdr:spPr bwMode="auto">
        <a:xfrm>
          <a:off x="12449810" y="6811008"/>
          <a:ext cx="2350008" cy="1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214312</xdr:colOff>
      <xdr:row>24</xdr:row>
      <xdr:rowOff>57150</xdr:rowOff>
    </xdr:from>
    <xdr:to>
      <xdr:col>34</xdr:col>
      <xdr:colOff>14287</xdr:colOff>
      <xdr:row>25</xdr:row>
      <xdr:rowOff>66675</xdr:rowOff>
    </xdr:to>
    <xdr:grpSp>
      <xdr:nvGrpSpPr>
        <xdr:cNvPr id="1257" name="Group 1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GrpSpPr>
          <a:grpSpLocks/>
        </xdr:cNvGrpSpPr>
      </xdr:nvGrpSpPr>
      <xdr:grpSpPr bwMode="auto">
        <a:xfrm flipH="1">
          <a:off x="10018712" y="4629150"/>
          <a:ext cx="92075" cy="200025"/>
          <a:chOff x="408" y="951"/>
          <a:chExt cx="13" cy="24"/>
        </a:xfrm>
      </xdr:grpSpPr>
      <xdr:sp macro="" textlink="">
        <xdr:nvSpPr>
          <xdr:cNvPr id="1460" name="Arc 20">
            <a:extLst>
              <a:ext uri="{FF2B5EF4-FFF2-40B4-BE49-F238E27FC236}">
                <a16:creationId xmlns:a16="http://schemas.microsoft.com/office/drawing/2014/main" id="{00000000-0008-0000-0000-0000B405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61" name="Arc 21">
            <a:extLst>
              <a:ext uri="{FF2B5EF4-FFF2-40B4-BE49-F238E27FC236}">
                <a16:creationId xmlns:a16="http://schemas.microsoft.com/office/drawing/2014/main" id="{00000000-0008-0000-0000-0000B505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5</xdr:col>
      <xdr:colOff>9525</xdr:colOff>
      <xdr:row>47</xdr:row>
      <xdr:rowOff>104775</xdr:rowOff>
    </xdr:from>
    <xdr:to>
      <xdr:col>7</xdr:col>
      <xdr:colOff>9525</xdr:colOff>
      <xdr:row>47</xdr:row>
      <xdr:rowOff>104775</xdr:rowOff>
    </xdr:to>
    <xdr:sp macro="" textlink="">
      <xdr:nvSpPr>
        <xdr:cNvPr id="1258" name="Line 24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ShapeType="1"/>
        </xdr:cNvSpPr>
      </xdr:nvSpPr>
      <xdr:spPr bwMode="auto">
        <a:xfrm>
          <a:off x="1533525" y="9039225"/>
          <a:ext cx="5905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302895</xdr:colOff>
      <xdr:row>27</xdr:row>
      <xdr:rowOff>104775</xdr:rowOff>
    </xdr:from>
    <xdr:to>
      <xdr:col>34</xdr:col>
      <xdr:colOff>302895</xdr:colOff>
      <xdr:row>27</xdr:row>
      <xdr:rowOff>104775</xdr:rowOff>
    </xdr:to>
    <xdr:sp macro="" textlink="">
      <xdr:nvSpPr>
        <xdr:cNvPr id="1259" name="Line 27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ShapeType="1"/>
        </xdr:cNvSpPr>
      </xdr:nvSpPr>
      <xdr:spPr bwMode="auto">
        <a:xfrm>
          <a:off x="10208895" y="5194935"/>
          <a:ext cx="6096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83820</xdr:colOff>
      <xdr:row>24</xdr:row>
      <xdr:rowOff>152400</xdr:rowOff>
    </xdr:from>
    <xdr:to>
      <xdr:col>33</xdr:col>
      <xdr:colOff>85725</xdr:colOff>
      <xdr:row>27</xdr:row>
      <xdr:rowOff>114299</xdr:rowOff>
    </xdr:to>
    <xdr:sp macro="" textlink="">
      <xdr:nvSpPr>
        <xdr:cNvPr id="1260" name="Line 28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9773603" y="4948237"/>
          <a:ext cx="533399" cy="1905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24</xdr:row>
      <xdr:rowOff>161925</xdr:rowOff>
    </xdr:from>
    <xdr:to>
      <xdr:col>39</xdr:col>
      <xdr:colOff>167640</xdr:colOff>
      <xdr:row>24</xdr:row>
      <xdr:rowOff>161925</xdr:rowOff>
    </xdr:to>
    <xdr:sp macro="" textlink="">
      <xdr:nvSpPr>
        <xdr:cNvPr id="1261" name="Line 2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 bwMode="auto">
        <a:xfrm flipV="1">
          <a:off x="10296525" y="4672965"/>
          <a:ext cx="191071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32</xdr:row>
      <xdr:rowOff>85725</xdr:rowOff>
    </xdr:from>
    <xdr:to>
      <xdr:col>26</xdr:col>
      <xdr:colOff>190500</xdr:colOff>
      <xdr:row>32</xdr:row>
      <xdr:rowOff>85725</xdr:rowOff>
    </xdr:to>
    <xdr:sp macro="" textlink="">
      <xdr:nvSpPr>
        <xdr:cNvPr id="1264" name="Line 4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ShapeType="1"/>
        </xdr:cNvSpPr>
      </xdr:nvSpPr>
      <xdr:spPr bwMode="auto">
        <a:xfrm>
          <a:off x="8008620" y="6136005"/>
          <a:ext cx="1905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180340</xdr:colOff>
      <xdr:row>30</xdr:row>
      <xdr:rowOff>125730</xdr:rowOff>
    </xdr:from>
    <xdr:to>
      <xdr:col>26</xdr:col>
      <xdr:colOff>180340</xdr:colOff>
      <xdr:row>32</xdr:row>
      <xdr:rowOff>87630</xdr:rowOff>
    </xdr:to>
    <xdr:sp macro="" textlink="">
      <xdr:nvSpPr>
        <xdr:cNvPr id="1265" name="Line 4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ShapeType="1"/>
        </xdr:cNvSpPr>
      </xdr:nvSpPr>
      <xdr:spPr bwMode="auto">
        <a:xfrm rot="-5400000">
          <a:off x="8017510" y="5966460"/>
          <a:ext cx="3429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lg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167641</xdr:colOff>
      <xdr:row>30</xdr:row>
      <xdr:rowOff>129538</xdr:rowOff>
    </xdr:from>
    <xdr:to>
      <xdr:col>34</xdr:col>
      <xdr:colOff>160020</xdr:colOff>
      <xdr:row>30</xdr:row>
      <xdr:rowOff>129538</xdr:rowOff>
    </xdr:to>
    <xdr:sp macro="" textlink="">
      <xdr:nvSpPr>
        <xdr:cNvPr id="1266" name="Line 4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ShapeType="1"/>
        </xdr:cNvSpPr>
      </xdr:nvSpPr>
      <xdr:spPr bwMode="auto">
        <a:xfrm flipV="1">
          <a:off x="8176261" y="5798818"/>
          <a:ext cx="2499359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295275</xdr:colOff>
      <xdr:row>23</xdr:row>
      <xdr:rowOff>180975</xdr:rowOff>
    </xdr:from>
    <xdr:to>
      <xdr:col>43</xdr:col>
      <xdr:colOff>295275</xdr:colOff>
      <xdr:row>25</xdr:row>
      <xdr:rowOff>147637</xdr:rowOff>
    </xdr:to>
    <xdr:sp macro="" textlink="">
      <xdr:nvSpPr>
        <xdr:cNvPr id="1267" name="Line 4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ShapeType="1"/>
        </xdr:cNvSpPr>
      </xdr:nvSpPr>
      <xdr:spPr bwMode="auto">
        <a:xfrm rot="5400000" flipH="1">
          <a:off x="13037344" y="4688681"/>
          <a:ext cx="347662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 type="none" w="lg" len="lg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8572</xdr:colOff>
      <xdr:row>33</xdr:row>
      <xdr:rowOff>175259</xdr:rowOff>
    </xdr:from>
    <xdr:to>
      <xdr:col>30</xdr:col>
      <xdr:colOff>8572</xdr:colOff>
      <xdr:row>35</xdr:row>
      <xdr:rowOff>41908</xdr:rowOff>
    </xdr:to>
    <xdr:sp macro="" textlink="">
      <xdr:nvSpPr>
        <xdr:cNvPr id="1268" name="Line 5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ShapeType="1"/>
        </xdr:cNvSpPr>
      </xdr:nvSpPr>
      <xdr:spPr bwMode="auto">
        <a:xfrm rot="5400000" flipH="1">
          <a:off x="9112567" y="6539864"/>
          <a:ext cx="247649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32</xdr:row>
      <xdr:rowOff>104775</xdr:rowOff>
    </xdr:from>
    <xdr:to>
      <xdr:col>33</xdr:col>
      <xdr:colOff>95250</xdr:colOff>
      <xdr:row>32</xdr:row>
      <xdr:rowOff>104775</xdr:rowOff>
    </xdr:to>
    <xdr:sp macro="" textlink="">
      <xdr:nvSpPr>
        <xdr:cNvPr id="1269" name="Line 6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ShapeType="1"/>
        </xdr:cNvSpPr>
      </xdr:nvSpPr>
      <xdr:spPr bwMode="auto">
        <a:xfrm>
          <a:off x="9896475" y="6162675"/>
          <a:ext cx="952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82549</xdr:colOff>
      <xdr:row>32</xdr:row>
      <xdr:rowOff>95249</xdr:rowOff>
    </xdr:from>
    <xdr:to>
      <xdr:col>33</xdr:col>
      <xdr:colOff>85725</xdr:colOff>
      <xdr:row>34</xdr:row>
      <xdr:rowOff>9525</xdr:rowOff>
    </xdr:to>
    <xdr:sp macro="" textlink="">
      <xdr:nvSpPr>
        <xdr:cNvPr id="1270" name="Line 6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ShapeType="1"/>
        </xdr:cNvSpPr>
      </xdr:nvSpPr>
      <xdr:spPr bwMode="auto">
        <a:xfrm>
          <a:off x="9979024" y="6162674"/>
          <a:ext cx="3176" cy="295276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300990</xdr:colOff>
      <xdr:row>42</xdr:row>
      <xdr:rowOff>114300</xdr:rowOff>
    </xdr:from>
    <xdr:to>
      <xdr:col>33</xdr:col>
      <xdr:colOff>41910</xdr:colOff>
      <xdr:row>42</xdr:row>
      <xdr:rowOff>114300</xdr:rowOff>
    </xdr:to>
    <xdr:sp macro="" textlink="">
      <xdr:nvSpPr>
        <xdr:cNvPr id="1271" name="Line 7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ShapeType="1"/>
        </xdr:cNvSpPr>
      </xdr:nvSpPr>
      <xdr:spPr bwMode="auto">
        <a:xfrm>
          <a:off x="10206990" y="8077200"/>
          <a:ext cx="4572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231140</xdr:colOff>
      <xdr:row>42</xdr:row>
      <xdr:rowOff>99060</xdr:rowOff>
    </xdr:from>
    <xdr:to>
      <xdr:col>33</xdr:col>
      <xdr:colOff>231140</xdr:colOff>
      <xdr:row>44</xdr:row>
      <xdr:rowOff>118110</xdr:rowOff>
    </xdr:to>
    <xdr:sp macro="" textlink="">
      <xdr:nvSpPr>
        <xdr:cNvPr id="1272" name="Line 7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ShapeType="1"/>
        </xdr:cNvSpPr>
      </xdr:nvSpPr>
      <xdr:spPr bwMode="auto">
        <a:xfrm>
          <a:off x="10441940" y="8061960"/>
          <a:ext cx="0" cy="4000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275908</xdr:colOff>
      <xdr:row>34</xdr:row>
      <xdr:rowOff>7620</xdr:rowOff>
    </xdr:from>
    <xdr:to>
      <xdr:col>27</xdr:col>
      <xdr:colOff>171133</xdr:colOff>
      <xdr:row>34</xdr:row>
      <xdr:rowOff>102870</xdr:rowOff>
    </xdr:to>
    <xdr:grpSp>
      <xdr:nvGrpSpPr>
        <xdr:cNvPr id="1274" name="Group 86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GrpSpPr>
          <a:grpSpLocks/>
        </xdr:cNvGrpSpPr>
      </xdr:nvGrpSpPr>
      <xdr:grpSpPr bwMode="auto">
        <a:xfrm rot="5400000" flipH="1">
          <a:off x="8005446" y="6463982"/>
          <a:ext cx="95250" cy="187325"/>
          <a:chOff x="408" y="951"/>
          <a:chExt cx="13" cy="24"/>
        </a:xfrm>
      </xdr:grpSpPr>
      <xdr:sp macro="" textlink="">
        <xdr:nvSpPr>
          <xdr:cNvPr id="1458" name="Arc 87">
            <a:extLst>
              <a:ext uri="{FF2B5EF4-FFF2-40B4-BE49-F238E27FC236}">
                <a16:creationId xmlns:a16="http://schemas.microsoft.com/office/drawing/2014/main" id="{00000000-0008-0000-0000-0000B205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59" name="Arc 88">
            <a:extLst>
              <a:ext uri="{FF2B5EF4-FFF2-40B4-BE49-F238E27FC236}">
                <a16:creationId xmlns:a16="http://schemas.microsoft.com/office/drawing/2014/main" id="{00000000-0008-0000-0000-0000B305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29</xdr:row>
      <xdr:rowOff>83819</xdr:rowOff>
    </xdr:from>
    <xdr:to>
      <xdr:col>24</xdr:col>
      <xdr:colOff>0</xdr:colOff>
      <xdr:row>31</xdr:row>
      <xdr:rowOff>9524</xdr:rowOff>
    </xdr:to>
    <xdr:sp macro="" textlink="">
      <xdr:nvSpPr>
        <xdr:cNvPr id="1275" name="Line 93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ShapeType="1"/>
        </xdr:cNvSpPr>
      </xdr:nvSpPr>
      <xdr:spPr bwMode="auto">
        <a:xfrm flipV="1">
          <a:off x="7399020" y="5562599"/>
          <a:ext cx="0" cy="306705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194309</xdr:colOff>
      <xdr:row>25</xdr:row>
      <xdr:rowOff>142875</xdr:rowOff>
    </xdr:from>
    <xdr:to>
      <xdr:col>43</xdr:col>
      <xdr:colOff>295908</xdr:colOff>
      <xdr:row>25</xdr:row>
      <xdr:rowOff>142875</xdr:rowOff>
    </xdr:to>
    <xdr:sp macro="" textlink="">
      <xdr:nvSpPr>
        <xdr:cNvPr id="1276" name="Line 94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ShapeType="1"/>
        </xdr:cNvSpPr>
      </xdr:nvSpPr>
      <xdr:spPr bwMode="auto">
        <a:xfrm>
          <a:off x="8202929" y="4844415"/>
          <a:ext cx="5420359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220135</xdr:colOff>
      <xdr:row>37</xdr:row>
      <xdr:rowOff>8467</xdr:rowOff>
    </xdr:from>
    <xdr:to>
      <xdr:col>35</xdr:col>
      <xdr:colOff>6095</xdr:colOff>
      <xdr:row>37</xdr:row>
      <xdr:rowOff>11427</xdr:rowOff>
    </xdr:to>
    <xdr:sp macro="" textlink="">
      <xdr:nvSpPr>
        <xdr:cNvPr id="1278" name="Line 11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ShapeType="1"/>
        </xdr:cNvSpPr>
      </xdr:nvSpPr>
      <xdr:spPr bwMode="auto">
        <a:xfrm>
          <a:off x="10701868" y="7120467"/>
          <a:ext cx="412494" cy="296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161925</xdr:colOff>
      <xdr:row>44</xdr:row>
      <xdr:rowOff>0</xdr:rowOff>
    </xdr:from>
    <xdr:to>
      <xdr:col>23</xdr:col>
      <xdr:colOff>161925</xdr:colOff>
      <xdr:row>46</xdr:row>
      <xdr:rowOff>0</xdr:rowOff>
    </xdr:to>
    <xdr:sp macro="" textlink="">
      <xdr:nvSpPr>
        <xdr:cNvPr id="1279" name="Line 15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ShapeType="1"/>
        </xdr:cNvSpPr>
      </xdr:nvSpPr>
      <xdr:spPr bwMode="auto">
        <a:xfrm rot="-5400000">
          <a:off x="2676525" y="7600950"/>
          <a:ext cx="381000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104775</xdr:colOff>
      <xdr:row>39</xdr:row>
      <xdr:rowOff>0</xdr:rowOff>
    </xdr:from>
    <xdr:to>
      <xdr:col>16</xdr:col>
      <xdr:colOff>104775</xdr:colOff>
      <xdr:row>41</xdr:row>
      <xdr:rowOff>0</xdr:rowOff>
    </xdr:to>
    <xdr:sp macro="" textlink="">
      <xdr:nvSpPr>
        <xdr:cNvPr id="1284" name="Line 22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ShapeType="1"/>
        </xdr:cNvSpPr>
      </xdr:nvSpPr>
      <xdr:spPr bwMode="auto">
        <a:xfrm rot="-5400000">
          <a:off x="4724400" y="7600950"/>
          <a:ext cx="38100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 type="triangl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133350</xdr:colOff>
      <xdr:row>37</xdr:row>
      <xdr:rowOff>85725</xdr:rowOff>
    </xdr:from>
    <xdr:to>
      <xdr:col>19</xdr:col>
      <xdr:colOff>133350</xdr:colOff>
      <xdr:row>45</xdr:row>
      <xdr:rowOff>19050</xdr:rowOff>
    </xdr:to>
    <xdr:sp macro="" textlink="">
      <xdr:nvSpPr>
        <xdr:cNvPr id="1285" name="Line 23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ShapeType="1"/>
        </xdr:cNvSpPr>
      </xdr:nvSpPr>
      <xdr:spPr bwMode="auto">
        <a:xfrm rot="5400000" flipH="1">
          <a:off x="5095875" y="7839075"/>
          <a:ext cx="1466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triangl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2222</xdr:colOff>
      <xdr:row>37</xdr:row>
      <xdr:rowOff>70485</xdr:rowOff>
    </xdr:from>
    <xdr:to>
      <xdr:col>20</xdr:col>
      <xdr:colOff>300989</xdr:colOff>
      <xdr:row>37</xdr:row>
      <xdr:rowOff>70485</xdr:rowOff>
    </xdr:to>
    <xdr:sp macro="" textlink="">
      <xdr:nvSpPr>
        <xdr:cNvPr id="1286" name="Line 23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ShapeType="1"/>
        </xdr:cNvSpPr>
      </xdr:nvSpPr>
      <xdr:spPr bwMode="auto">
        <a:xfrm flipV="1">
          <a:off x="6182042" y="7073265"/>
          <a:ext cx="298767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37</xdr:row>
      <xdr:rowOff>95250</xdr:rowOff>
    </xdr:from>
    <xdr:to>
      <xdr:col>19</xdr:col>
      <xdr:colOff>142875</xdr:colOff>
      <xdr:row>37</xdr:row>
      <xdr:rowOff>95250</xdr:rowOff>
    </xdr:to>
    <xdr:sp macro="" textlink="">
      <xdr:nvSpPr>
        <xdr:cNvPr id="1288" name="Line 23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ShapeType="1"/>
        </xdr:cNvSpPr>
      </xdr:nvSpPr>
      <xdr:spPr bwMode="auto">
        <a:xfrm>
          <a:off x="5695950" y="7115175"/>
          <a:ext cx="142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118109</xdr:colOff>
      <xdr:row>41</xdr:row>
      <xdr:rowOff>7620</xdr:rowOff>
    </xdr:from>
    <xdr:to>
      <xdr:col>33</xdr:col>
      <xdr:colOff>118109</xdr:colOff>
      <xdr:row>44</xdr:row>
      <xdr:rowOff>106679</xdr:rowOff>
    </xdr:to>
    <xdr:sp macro="" textlink="">
      <xdr:nvSpPr>
        <xdr:cNvPr id="1290" name="Line 238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ShapeType="1"/>
        </xdr:cNvSpPr>
      </xdr:nvSpPr>
      <xdr:spPr bwMode="auto">
        <a:xfrm rot="5400000" flipH="1">
          <a:off x="9993629" y="8115300"/>
          <a:ext cx="670559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19050</xdr:colOff>
      <xdr:row>31</xdr:row>
      <xdr:rowOff>22860</xdr:rowOff>
    </xdr:from>
    <xdr:to>
      <xdr:col>34</xdr:col>
      <xdr:colOff>19050</xdr:colOff>
      <xdr:row>31</xdr:row>
      <xdr:rowOff>182880</xdr:rowOff>
    </xdr:to>
    <xdr:sp macro="" textlink="">
      <xdr:nvSpPr>
        <xdr:cNvPr id="1291" name="Line 274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ShapeType="1"/>
        </xdr:cNvSpPr>
      </xdr:nvSpPr>
      <xdr:spPr bwMode="auto">
        <a:xfrm>
          <a:off x="10534650" y="5882640"/>
          <a:ext cx="0" cy="16002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133350</xdr:colOff>
      <xdr:row>35</xdr:row>
      <xdr:rowOff>26669</xdr:rowOff>
    </xdr:from>
    <xdr:to>
      <xdr:col>36</xdr:col>
      <xdr:colOff>133350</xdr:colOff>
      <xdr:row>36</xdr:row>
      <xdr:rowOff>0</xdr:rowOff>
    </xdr:to>
    <xdr:sp macro="" textlink="">
      <xdr:nvSpPr>
        <xdr:cNvPr id="1292" name="Line 278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ShapeType="1"/>
        </xdr:cNvSpPr>
      </xdr:nvSpPr>
      <xdr:spPr bwMode="auto">
        <a:xfrm rot="-5400000">
          <a:off x="11176634" y="6730365"/>
          <a:ext cx="163831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 type="arrow" w="med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7619</xdr:colOff>
      <xdr:row>34</xdr:row>
      <xdr:rowOff>11430</xdr:rowOff>
    </xdr:from>
    <xdr:to>
      <xdr:col>33</xdr:col>
      <xdr:colOff>99058</xdr:colOff>
      <xdr:row>36</xdr:row>
      <xdr:rowOff>22860</xdr:rowOff>
    </xdr:to>
    <xdr:grpSp>
      <xdr:nvGrpSpPr>
        <xdr:cNvPr id="1293" name="Group 27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GrpSpPr>
          <a:grpSpLocks/>
        </xdr:cNvGrpSpPr>
      </xdr:nvGrpSpPr>
      <xdr:grpSpPr bwMode="auto">
        <a:xfrm flipH="1">
          <a:off x="9812019" y="6513830"/>
          <a:ext cx="91439" cy="392430"/>
          <a:chOff x="408" y="951"/>
          <a:chExt cx="13" cy="24"/>
        </a:xfrm>
      </xdr:grpSpPr>
      <xdr:sp macro="" textlink="">
        <xdr:nvSpPr>
          <xdr:cNvPr id="1454" name="Arc 280">
            <a:extLst>
              <a:ext uri="{FF2B5EF4-FFF2-40B4-BE49-F238E27FC236}">
                <a16:creationId xmlns:a16="http://schemas.microsoft.com/office/drawing/2014/main" id="{00000000-0008-0000-0000-0000AE05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55" name="Arc 281">
            <a:extLst>
              <a:ext uri="{FF2B5EF4-FFF2-40B4-BE49-F238E27FC236}">
                <a16:creationId xmlns:a16="http://schemas.microsoft.com/office/drawing/2014/main" id="{00000000-0008-0000-0000-0000AF05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247650</xdr:colOff>
      <xdr:row>44</xdr:row>
      <xdr:rowOff>104774</xdr:rowOff>
    </xdr:from>
    <xdr:to>
      <xdr:col>41</xdr:col>
      <xdr:colOff>194310</xdr:colOff>
      <xdr:row>44</xdr:row>
      <xdr:rowOff>104774</xdr:rowOff>
    </xdr:to>
    <xdr:sp macro="" textlink="">
      <xdr:nvSpPr>
        <xdr:cNvPr id="1294" name="Line 29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ShapeType="1"/>
        </xdr:cNvSpPr>
      </xdr:nvSpPr>
      <xdr:spPr bwMode="auto">
        <a:xfrm flipV="1">
          <a:off x="10458450" y="8448674"/>
          <a:ext cx="23850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</xdr:colOff>
      <xdr:row>32</xdr:row>
      <xdr:rowOff>85725</xdr:rowOff>
    </xdr:from>
    <xdr:to>
      <xdr:col>40</xdr:col>
      <xdr:colOff>114301</xdr:colOff>
      <xdr:row>32</xdr:row>
      <xdr:rowOff>85725</xdr:rowOff>
    </xdr:to>
    <xdr:sp macro="" textlink="">
      <xdr:nvSpPr>
        <xdr:cNvPr id="1295" name="Line 29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ShapeType="1"/>
        </xdr:cNvSpPr>
      </xdr:nvSpPr>
      <xdr:spPr bwMode="auto">
        <a:xfrm>
          <a:off x="11963401" y="6153150"/>
          <a:ext cx="1143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104775</xdr:colOff>
      <xdr:row>32</xdr:row>
      <xdr:rowOff>76200</xdr:rowOff>
    </xdr:from>
    <xdr:to>
      <xdr:col>40</xdr:col>
      <xdr:colOff>104775</xdr:colOff>
      <xdr:row>35</xdr:row>
      <xdr:rowOff>104775</xdr:rowOff>
    </xdr:to>
    <xdr:sp macro="" textlink="">
      <xdr:nvSpPr>
        <xdr:cNvPr id="1296" name="Line 29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ShapeType="1"/>
        </xdr:cNvSpPr>
      </xdr:nvSpPr>
      <xdr:spPr bwMode="auto">
        <a:xfrm>
          <a:off x="12068175" y="6143625"/>
          <a:ext cx="0" cy="60007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150177</xdr:colOff>
      <xdr:row>38</xdr:row>
      <xdr:rowOff>65405</xdr:rowOff>
    </xdr:from>
    <xdr:to>
      <xdr:col>48</xdr:col>
      <xdr:colOff>302577</xdr:colOff>
      <xdr:row>38</xdr:row>
      <xdr:rowOff>65405</xdr:rowOff>
    </xdr:to>
    <xdr:sp macro="" textlink="">
      <xdr:nvSpPr>
        <xdr:cNvPr id="1297" name="Line 294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ShapeType="1"/>
        </xdr:cNvSpPr>
      </xdr:nvSpPr>
      <xdr:spPr bwMode="auto">
        <a:xfrm>
          <a:off x="14790737" y="7370445"/>
          <a:ext cx="4572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153035</xdr:colOff>
      <xdr:row>22</xdr:row>
      <xdr:rowOff>158115</xdr:rowOff>
    </xdr:from>
    <xdr:to>
      <xdr:col>39</xdr:col>
      <xdr:colOff>153035</xdr:colOff>
      <xdr:row>24</xdr:row>
      <xdr:rowOff>174371</xdr:rowOff>
    </xdr:to>
    <xdr:sp macro="" textlink="">
      <xdr:nvSpPr>
        <xdr:cNvPr id="1298" name="Line 33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ShapeType="1"/>
        </xdr:cNvSpPr>
      </xdr:nvSpPr>
      <xdr:spPr bwMode="auto">
        <a:xfrm>
          <a:off x="12202795" y="4344035"/>
          <a:ext cx="0" cy="402336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247650</xdr:colOff>
      <xdr:row>30</xdr:row>
      <xdr:rowOff>6350</xdr:rowOff>
    </xdr:from>
    <xdr:to>
      <xdr:col>47</xdr:col>
      <xdr:colOff>95250</xdr:colOff>
      <xdr:row>30</xdr:row>
      <xdr:rowOff>6350</xdr:rowOff>
    </xdr:to>
    <xdr:sp macro="" textlink="">
      <xdr:nvSpPr>
        <xdr:cNvPr id="1301" name="Line 36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ShapeType="1"/>
        </xdr:cNvSpPr>
      </xdr:nvSpPr>
      <xdr:spPr bwMode="auto">
        <a:xfrm flipV="1">
          <a:off x="13379450" y="5721350"/>
          <a:ext cx="80010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88900</xdr:colOff>
      <xdr:row>30</xdr:row>
      <xdr:rowOff>19048</xdr:rowOff>
    </xdr:from>
    <xdr:to>
      <xdr:col>47</xdr:col>
      <xdr:colOff>88900</xdr:colOff>
      <xdr:row>34</xdr:row>
      <xdr:rowOff>106679</xdr:rowOff>
    </xdr:to>
    <xdr:sp macro="" textlink="">
      <xdr:nvSpPr>
        <xdr:cNvPr id="1302" name="Line 36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4294484" y="6113144"/>
          <a:ext cx="849631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 type="none" w="lg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254000</xdr:colOff>
      <xdr:row>34</xdr:row>
      <xdr:rowOff>93980</xdr:rowOff>
    </xdr:from>
    <xdr:to>
      <xdr:col>47</xdr:col>
      <xdr:colOff>82550</xdr:colOff>
      <xdr:row>34</xdr:row>
      <xdr:rowOff>93980</xdr:rowOff>
    </xdr:to>
    <xdr:sp macro="" textlink="">
      <xdr:nvSpPr>
        <xdr:cNvPr id="1303" name="Line 36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ShapeType="1"/>
        </xdr:cNvSpPr>
      </xdr:nvSpPr>
      <xdr:spPr bwMode="auto">
        <a:xfrm flipV="1">
          <a:off x="13929360" y="6616700"/>
          <a:ext cx="79375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261937</xdr:colOff>
      <xdr:row>34</xdr:row>
      <xdr:rowOff>114300</xdr:rowOff>
    </xdr:from>
    <xdr:to>
      <xdr:col>44</xdr:col>
      <xdr:colOff>261937</xdr:colOff>
      <xdr:row>36</xdr:row>
      <xdr:rowOff>9525</xdr:rowOff>
    </xdr:to>
    <xdr:sp macro="" textlink="">
      <xdr:nvSpPr>
        <xdr:cNvPr id="1304" name="Line 36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ShapeType="1"/>
        </xdr:cNvSpPr>
      </xdr:nvSpPr>
      <xdr:spPr bwMode="auto">
        <a:xfrm rot="5400000" flipH="1">
          <a:off x="13363574" y="6700838"/>
          <a:ext cx="276225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 type="none" w="lg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257173</xdr:colOff>
      <xdr:row>33</xdr:row>
      <xdr:rowOff>74930</xdr:rowOff>
    </xdr:from>
    <xdr:to>
      <xdr:col>40</xdr:col>
      <xdr:colOff>257174</xdr:colOff>
      <xdr:row>34</xdr:row>
      <xdr:rowOff>174498</xdr:rowOff>
    </xdr:to>
    <xdr:sp macro="" textlink="">
      <xdr:nvSpPr>
        <xdr:cNvPr id="1306" name="Line 424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2465430" y="6550913"/>
          <a:ext cx="292608" cy="1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228600</xdr:colOff>
      <xdr:row>8</xdr:row>
      <xdr:rowOff>0</xdr:rowOff>
    </xdr:from>
    <xdr:ext cx="2546210" cy="377155"/>
    <xdr:sp macro="" textlink="">
      <xdr:nvSpPr>
        <xdr:cNvPr id="106" name="Text Box 42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095500" y="1524000"/>
          <a:ext cx="2546210" cy="3771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Semesters class is typically offered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Fa = Fall, Sp = Spring, Su = Summer</a:t>
          </a:r>
        </a:p>
      </xdr:txBody>
    </xdr:sp>
    <xdr:clientData/>
  </xdr:oneCellAnchor>
  <xdr:oneCellAnchor>
    <xdr:from>
      <xdr:col>1</xdr:col>
      <xdr:colOff>38100</xdr:colOff>
      <xdr:row>4</xdr:row>
      <xdr:rowOff>38100</xdr:rowOff>
    </xdr:from>
    <xdr:ext cx="967829" cy="200119"/>
    <xdr:sp macro="" textlink="">
      <xdr:nvSpPr>
        <xdr:cNvPr id="107" name="Text Box 427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42900" y="800100"/>
          <a:ext cx="967829" cy="2001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Class number</a:t>
          </a:r>
        </a:p>
      </xdr:txBody>
    </xdr:sp>
    <xdr:clientData/>
  </xdr:oneCellAnchor>
  <xdr:oneCellAnchor>
    <xdr:from>
      <xdr:col>4</xdr:col>
      <xdr:colOff>114300</xdr:colOff>
      <xdr:row>5</xdr:row>
      <xdr:rowOff>76200</xdr:rowOff>
    </xdr:from>
    <xdr:ext cx="685509" cy="200119"/>
    <xdr:sp macro="" textlink="">
      <xdr:nvSpPr>
        <xdr:cNvPr id="108" name="Text Box 42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371600" y="1028700"/>
          <a:ext cx="685509" cy="2001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Class title</a:t>
          </a:r>
        </a:p>
      </xdr:txBody>
    </xdr:sp>
    <xdr:clientData/>
  </xdr:oneCellAnchor>
  <xdr:oneCellAnchor>
    <xdr:from>
      <xdr:col>4</xdr:col>
      <xdr:colOff>85725</xdr:colOff>
      <xdr:row>12</xdr:row>
      <xdr:rowOff>28575</xdr:rowOff>
    </xdr:from>
    <xdr:ext cx="830997" cy="200119"/>
    <xdr:sp macro="" textlink="">
      <xdr:nvSpPr>
        <xdr:cNvPr id="109" name="Text Box 42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343025" y="2314575"/>
          <a:ext cx="830997" cy="2001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Class hours</a:t>
          </a:r>
        </a:p>
      </xdr:txBody>
    </xdr:sp>
    <xdr:clientData/>
  </xdr:oneCellAnchor>
  <xdr:oneCellAnchor>
    <xdr:from>
      <xdr:col>5</xdr:col>
      <xdr:colOff>76200</xdr:colOff>
      <xdr:row>10</xdr:row>
      <xdr:rowOff>142875</xdr:rowOff>
    </xdr:from>
    <xdr:ext cx="2653227" cy="200119"/>
    <xdr:sp macro="" textlink="">
      <xdr:nvSpPr>
        <xdr:cNvPr id="110" name="Text Box 43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638300" y="2047875"/>
          <a:ext cx="2653227" cy="2001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Grade in class (input letter grade here)</a:t>
          </a:r>
        </a:p>
      </xdr:txBody>
    </xdr:sp>
    <xdr:clientData/>
  </xdr:oneCellAnchor>
  <xdr:twoCellAnchor>
    <xdr:from>
      <xdr:col>3</xdr:col>
      <xdr:colOff>180975</xdr:colOff>
      <xdr:row>9</xdr:row>
      <xdr:rowOff>85725</xdr:rowOff>
    </xdr:from>
    <xdr:to>
      <xdr:col>5</xdr:col>
      <xdr:colOff>28575</xdr:colOff>
      <xdr:row>11</xdr:row>
      <xdr:rowOff>47625</xdr:rowOff>
    </xdr:to>
    <xdr:sp macro="" textlink="">
      <xdr:nvSpPr>
        <xdr:cNvPr id="1312" name="Line 43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ShapeType="1"/>
        </xdr:cNvSpPr>
      </xdr:nvSpPr>
      <xdr:spPr bwMode="auto">
        <a:xfrm flipH="1" flipV="1">
          <a:off x="1066800" y="1800225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7</xdr:row>
      <xdr:rowOff>104775</xdr:rowOff>
    </xdr:from>
    <xdr:to>
      <xdr:col>6</xdr:col>
      <xdr:colOff>123825</xdr:colOff>
      <xdr:row>8</xdr:row>
      <xdr:rowOff>104775</xdr:rowOff>
    </xdr:to>
    <xdr:sp macro="" textlink="">
      <xdr:nvSpPr>
        <xdr:cNvPr id="1313" name="Line 4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ShapeType="1"/>
        </xdr:cNvSpPr>
      </xdr:nvSpPr>
      <xdr:spPr bwMode="auto">
        <a:xfrm flipH="1" flipV="1">
          <a:off x="1533525" y="1438275"/>
          <a:ext cx="4095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8</xdr:row>
      <xdr:rowOff>104775</xdr:rowOff>
    </xdr:from>
    <xdr:to>
      <xdr:col>6</xdr:col>
      <xdr:colOff>247650</xdr:colOff>
      <xdr:row>8</xdr:row>
      <xdr:rowOff>104775</xdr:rowOff>
    </xdr:to>
    <xdr:sp macro="" textlink="">
      <xdr:nvSpPr>
        <xdr:cNvPr id="1314" name="Line 43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ShapeType="1"/>
        </xdr:cNvSpPr>
      </xdr:nvSpPr>
      <xdr:spPr bwMode="auto">
        <a:xfrm flipH="1" flipV="1">
          <a:off x="1533525" y="162877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8</xdr:row>
      <xdr:rowOff>114300</xdr:rowOff>
    </xdr:from>
    <xdr:to>
      <xdr:col>6</xdr:col>
      <xdr:colOff>114300</xdr:colOff>
      <xdr:row>9</xdr:row>
      <xdr:rowOff>85725</xdr:rowOff>
    </xdr:to>
    <xdr:sp macro="" textlink="">
      <xdr:nvSpPr>
        <xdr:cNvPr id="1315" name="Line 43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ShapeType="1"/>
        </xdr:cNvSpPr>
      </xdr:nvSpPr>
      <xdr:spPr bwMode="auto">
        <a:xfrm flipH="1">
          <a:off x="1533525" y="1638300"/>
          <a:ext cx="4000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9</xdr:row>
      <xdr:rowOff>114300</xdr:rowOff>
    </xdr:from>
    <xdr:to>
      <xdr:col>4</xdr:col>
      <xdr:colOff>57150</xdr:colOff>
      <xdr:row>12</xdr:row>
      <xdr:rowOff>85725</xdr:rowOff>
    </xdr:to>
    <xdr:sp macro="" textlink="">
      <xdr:nvSpPr>
        <xdr:cNvPr id="1316" name="Line 43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ShapeType="1"/>
        </xdr:cNvSpPr>
      </xdr:nvSpPr>
      <xdr:spPr bwMode="auto">
        <a:xfrm flipH="1" flipV="1">
          <a:off x="657225" y="1828800"/>
          <a:ext cx="62865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5</xdr:row>
      <xdr:rowOff>38100</xdr:rowOff>
    </xdr:from>
    <xdr:to>
      <xdr:col>3</xdr:col>
      <xdr:colOff>200025</xdr:colOff>
      <xdr:row>7</xdr:row>
      <xdr:rowOff>104775</xdr:rowOff>
    </xdr:to>
    <xdr:sp macro="" textlink="">
      <xdr:nvSpPr>
        <xdr:cNvPr id="1317" name="Line 43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ShapeType="1"/>
        </xdr:cNvSpPr>
      </xdr:nvSpPr>
      <xdr:spPr bwMode="auto">
        <a:xfrm flipH="1">
          <a:off x="933450" y="990600"/>
          <a:ext cx="1524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5</xdr:row>
      <xdr:rowOff>161925</xdr:rowOff>
    </xdr:from>
    <xdr:to>
      <xdr:col>4</xdr:col>
      <xdr:colOff>104775</xdr:colOff>
      <xdr:row>8</xdr:row>
      <xdr:rowOff>85725</xdr:rowOff>
    </xdr:to>
    <xdr:sp macro="" textlink="">
      <xdr:nvSpPr>
        <xdr:cNvPr id="1318" name="Line 43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ShapeType="1"/>
        </xdr:cNvSpPr>
      </xdr:nvSpPr>
      <xdr:spPr bwMode="auto">
        <a:xfrm flipH="1">
          <a:off x="952500" y="1114425"/>
          <a:ext cx="3810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234950</xdr:colOff>
      <xdr:row>29</xdr:row>
      <xdr:rowOff>158750</xdr:rowOff>
    </xdr:from>
    <xdr:to>
      <xdr:col>54</xdr:col>
      <xdr:colOff>130175</xdr:colOff>
      <xdr:row>29</xdr:row>
      <xdr:rowOff>158750</xdr:rowOff>
    </xdr:to>
    <xdr:sp macro="" textlink="">
      <xdr:nvSpPr>
        <xdr:cNvPr id="1319" name="Line 43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ShapeType="1"/>
        </xdr:cNvSpPr>
      </xdr:nvSpPr>
      <xdr:spPr bwMode="auto">
        <a:xfrm flipV="1">
          <a:off x="15563850" y="5683250"/>
          <a:ext cx="847725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138112</xdr:colOff>
      <xdr:row>29</xdr:row>
      <xdr:rowOff>147636</xdr:rowOff>
    </xdr:from>
    <xdr:to>
      <xdr:col>54</xdr:col>
      <xdr:colOff>138112</xdr:colOff>
      <xdr:row>34</xdr:row>
      <xdr:rowOff>190498</xdr:rowOff>
    </xdr:to>
    <xdr:sp macro="" textlink="">
      <xdr:nvSpPr>
        <xdr:cNvPr id="1320" name="Line 44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ShapeType="1"/>
        </xdr:cNvSpPr>
      </xdr:nvSpPr>
      <xdr:spPr bwMode="auto">
        <a:xfrm rot="5400000" flipH="1">
          <a:off x="16032956" y="6141242"/>
          <a:ext cx="995362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 type="none" w="lg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190499</xdr:colOff>
      <xdr:row>34</xdr:row>
      <xdr:rowOff>171450</xdr:rowOff>
    </xdr:from>
    <xdr:to>
      <xdr:col>54</xdr:col>
      <xdr:colOff>117474</xdr:colOff>
      <xdr:row>34</xdr:row>
      <xdr:rowOff>177800</xdr:rowOff>
    </xdr:to>
    <xdr:sp macro="" textlink="">
      <xdr:nvSpPr>
        <xdr:cNvPr id="1321" name="Line 44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ShapeType="1"/>
        </xdr:cNvSpPr>
      </xdr:nvSpPr>
      <xdr:spPr bwMode="auto">
        <a:xfrm flipV="1">
          <a:off x="15849599" y="6661150"/>
          <a:ext cx="549275" cy="635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184150</xdr:colOff>
      <xdr:row>34</xdr:row>
      <xdr:rowOff>171450</xdr:rowOff>
    </xdr:from>
    <xdr:to>
      <xdr:col>52</xdr:col>
      <xdr:colOff>185738</xdr:colOff>
      <xdr:row>36</xdr:row>
      <xdr:rowOff>3175</xdr:rowOff>
    </xdr:to>
    <xdr:sp macro="" textlink="">
      <xdr:nvSpPr>
        <xdr:cNvPr id="1322" name="Line 442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5842456" y="6725444"/>
          <a:ext cx="212725" cy="1588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 type="none" w="lg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8</xdr:row>
      <xdr:rowOff>104775</xdr:rowOff>
    </xdr:from>
    <xdr:to>
      <xdr:col>23</xdr:col>
      <xdr:colOff>0</xdr:colOff>
      <xdr:row>8</xdr:row>
      <xdr:rowOff>104775</xdr:rowOff>
    </xdr:to>
    <xdr:sp macro="" textlink="">
      <xdr:nvSpPr>
        <xdr:cNvPr id="1323" name="Line 444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ShapeType="1"/>
        </xdr:cNvSpPr>
      </xdr:nvSpPr>
      <xdr:spPr bwMode="auto">
        <a:xfrm>
          <a:off x="6286500" y="1628775"/>
          <a:ext cx="5905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28575</xdr:colOff>
      <xdr:row>5</xdr:row>
      <xdr:rowOff>180975</xdr:rowOff>
    </xdr:from>
    <xdr:to>
      <xdr:col>22</xdr:col>
      <xdr:colOff>254000</xdr:colOff>
      <xdr:row>9</xdr:row>
      <xdr:rowOff>57150</xdr:rowOff>
    </xdr:to>
    <xdr:sp macro="" textlink="">
      <xdr:nvSpPr>
        <xdr:cNvPr id="123" name="Text Box 44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375275" y="1133475"/>
          <a:ext cx="13938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Prerequisite (trace the line back to the prereq)</a:t>
          </a:r>
        </a:p>
      </xdr:txBody>
    </xdr:sp>
    <xdr:clientData/>
  </xdr:twoCellAnchor>
  <xdr:twoCellAnchor>
    <xdr:from>
      <xdr:col>25</xdr:col>
      <xdr:colOff>209550</xdr:colOff>
      <xdr:row>10</xdr:row>
      <xdr:rowOff>9525</xdr:rowOff>
    </xdr:from>
    <xdr:to>
      <xdr:col>25</xdr:col>
      <xdr:colOff>209550</xdr:colOff>
      <xdr:row>12</xdr:row>
      <xdr:rowOff>9525</xdr:rowOff>
    </xdr:to>
    <xdr:sp macro="" textlink="">
      <xdr:nvSpPr>
        <xdr:cNvPr id="1325" name="Line 446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ShapeType="1"/>
        </xdr:cNvSpPr>
      </xdr:nvSpPr>
      <xdr:spPr bwMode="auto">
        <a:xfrm rot="5400000" flipH="1">
          <a:off x="7486650" y="2105025"/>
          <a:ext cx="381000" cy="0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 type="non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26</xdr:col>
      <xdr:colOff>0</xdr:colOff>
      <xdr:row>10</xdr:row>
      <xdr:rowOff>60325</xdr:rowOff>
    </xdr:from>
    <xdr:to>
      <xdr:col>31</xdr:col>
      <xdr:colOff>215900</xdr:colOff>
      <xdr:row>12</xdr:row>
      <xdr:rowOff>174625</xdr:rowOff>
    </xdr:to>
    <xdr:sp macro="" textlink="">
      <xdr:nvSpPr>
        <xdr:cNvPr id="125" name="Text Box 44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7683500" y="1965325"/>
          <a:ext cx="1714500" cy="495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Corequisite (trace the line back to the coreq)</a:t>
          </a:r>
        </a:p>
      </xdr:txBody>
    </xdr:sp>
    <xdr:clientData/>
  </xdr:twoCellAnchor>
  <xdr:twoCellAnchor>
    <xdr:from>
      <xdr:col>23</xdr:col>
      <xdr:colOff>152400</xdr:colOff>
      <xdr:row>24</xdr:row>
      <xdr:rowOff>0</xdr:rowOff>
    </xdr:from>
    <xdr:to>
      <xdr:col>23</xdr:col>
      <xdr:colOff>152400</xdr:colOff>
      <xdr:row>24</xdr:row>
      <xdr:rowOff>173736</xdr:rowOff>
    </xdr:to>
    <xdr:sp macro="" textlink="">
      <xdr:nvSpPr>
        <xdr:cNvPr id="1328" name="Line 456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ShapeType="1"/>
        </xdr:cNvSpPr>
      </xdr:nvSpPr>
      <xdr:spPr bwMode="auto">
        <a:xfrm>
          <a:off x="7246620" y="4511040"/>
          <a:ext cx="0" cy="173736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180976</xdr:colOff>
      <xdr:row>38</xdr:row>
      <xdr:rowOff>40324</xdr:rowOff>
    </xdr:from>
    <xdr:to>
      <xdr:col>41</xdr:col>
      <xdr:colOff>180976</xdr:colOff>
      <xdr:row>44</xdr:row>
      <xdr:rowOff>118110</xdr:rowOff>
    </xdr:to>
    <xdr:sp macro="" textlink="">
      <xdr:nvSpPr>
        <xdr:cNvPr id="1329" name="Line 47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ShapeType="1"/>
        </xdr:cNvSpPr>
      </xdr:nvSpPr>
      <xdr:spPr bwMode="auto">
        <a:xfrm>
          <a:off x="12830176" y="7241224"/>
          <a:ext cx="0" cy="1220786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142875</xdr:colOff>
      <xdr:row>28</xdr:row>
      <xdr:rowOff>60960</xdr:rowOff>
    </xdr:from>
    <xdr:to>
      <xdr:col>34</xdr:col>
      <xdr:colOff>142875</xdr:colOff>
      <xdr:row>30</xdr:row>
      <xdr:rowOff>133350</xdr:rowOff>
    </xdr:to>
    <xdr:sp macro="" textlink="">
      <xdr:nvSpPr>
        <xdr:cNvPr id="1333" name="Line 824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ShapeType="1"/>
        </xdr:cNvSpPr>
      </xdr:nvSpPr>
      <xdr:spPr bwMode="auto">
        <a:xfrm flipH="1">
          <a:off x="10658475" y="5349240"/>
          <a:ext cx="0" cy="45339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135255</xdr:colOff>
      <xdr:row>21</xdr:row>
      <xdr:rowOff>116840</xdr:rowOff>
    </xdr:from>
    <xdr:to>
      <xdr:col>42</xdr:col>
      <xdr:colOff>3175</xdr:colOff>
      <xdr:row>21</xdr:row>
      <xdr:rowOff>116840</xdr:rowOff>
    </xdr:to>
    <xdr:sp macro="" textlink="">
      <xdr:nvSpPr>
        <xdr:cNvPr id="1334" name="Line 83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ShapeType="1"/>
        </xdr:cNvSpPr>
      </xdr:nvSpPr>
      <xdr:spPr bwMode="auto">
        <a:xfrm>
          <a:off x="12185015" y="4109720"/>
          <a:ext cx="8229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219075</xdr:colOff>
      <xdr:row>9</xdr:row>
      <xdr:rowOff>104775</xdr:rowOff>
    </xdr:from>
    <xdr:to>
      <xdr:col>2</xdr:col>
      <xdr:colOff>200025</xdr:colOff>
      <xdr:row>13</xdr:row>
      <xdr:rowOff>133350</xdr:rowOff>
    </xdr:to>
    <xdr:sp macro="" textlink="">
      <xdr:nvSpPr>
        <xdr:cNvPr id="1335" name="Line 922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ShapeType="1"/>
        </xdr:cNvSpPr>
      </xdr:nvSpPr>
      <xdr:spPr bwMode="auto">
        <a:xfrm flipH="1" flipV="1">
          <a:off x="219075" y="1819275"/>
          <a:ext cx="5715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228600</xdr:colOff>
      <xdr:row>13</xdr:row>
      <xdr:rowOff>76200</xdr:rowOff>
    </xdr:from>
    <xdr:ext cx="1096326" cy="200119"/>
    <xdr:sp macro="" textlink="">
      <xdr:nvSpPr>
        <xdr:cNvPr id="148" name="Text Box 92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12800" y="2552700"/>
          <a:ext cx="1096326" cy="20011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Semester taken</a:t>
          </a:r>
        </a:p>
      </xdr:txBody>
    </xdr:sp>
    <xdr:clientData/>
  </xdr:oneCellAnchor>
  <xdr:twoCellAnchor>
    <xdr:from>
      <xdr:col>40</xdr:col>
      <xdr:colOff>0</xdr:colOff>
      <xdr:row>27</xdr:row>
      <xdr:rowOff>85725</xdr:rowOff>
    </xdr:from>
    <xdr:to>
      <xdr:col>40</xdr:col>
      <xdr:colOff>261938</xdr:colOff>
      <xdr:row>27</xdr:row>
      <xdr:rowOff>85725</xdr:rowOff>
    </xdr:to>
    <xdr:sp macro="" textlink="">
      <xdr:nvSpPr>
        <xdr:cNvPr id="1337" name="Line 83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ShapeType="1"/>
        </xdr:cNvSpPr>
      </xdr:nvSpPr>
      <xdr:spPr bwMode="auto">
        <a:xfrm>
          <a:off x="11963400" y="5191125"/>
          <a:ext cx="261938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154940</xdr:colOff>
      <xdr:row>44</xdr:row>
      <xdr:rowOff>29845</xdr:rowOff>
    </xdr:from>
    <xdr:to>
      <xdr:col>43</xdr:col>
      <xdr:colOff>154940</xdr:colOff>
      <xdr:row>45</xdr:row>
      <xdr:rowOff>20320</xdr:rowOff>
    </xdr:to>
    <xdr:sp macro="" textlink="">
      <xdr:nvSpPr>
        <xdr:cNvPr id="1338" name="Line 35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ShapeType="1"/>
        </xdr:cNvSpPr>
      </xdr:nvSpPr>
      <xdr:spPr bwMode="auto">
        <a:xfrm rot="5400000" flipH="1">
          <a:off x="13403262" y="8584883"/>
          <a:ext cx="183515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42</xdr:col>
      <xdr:colOff>304165</xdr:colOff>
      <xdr:row>45</xdr:row>
      <xdr:rowOff>8255</xdr:rowOff>
    </xdr:from>
    <xdr:to>
      <xdr:col>43</xdr:col>
      <xdr:colOff>154940</xdr:colOff>
      <xdr:row>45</xdr:row>
      <xdr:rowOff>8255</xdr:rowOff>
    </xdr:to>
    <xdr:sp macro="" textlink="">
      <xdr:nvSpPr>
        <xdr:cNvPr id="1339" name="Line 839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ShapeType="1"/>
        </xdr:cNvSpPr>
      </xdr:nvSpPr>
      <xdr:spPr bwMode="auto">
        <a:xfrm flipV="1">
          <a:off x="13308965" y="8664575"/>
          <a:ext cx="186055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42</xdr:col>
      <xdr:colOff>112089</xdr:colOff>
      <xdr:row>44</xdr:row>
      <xdr:rowOff>120332</xdr:rowOff>
    </xdr:from>
    <xdr:ext cx="145874" cy="187872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3116889" y="8583612"/>
          <a:ext cx="145874" cy="187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/>
        <a:p>
          <a:r>
            <a:rPr lang="en-US" sz="1200"/>
            <a:t>FE</a:t>
          </a:r>
        </a:p>
      </xdr:txBody>
    </xdr:sp>
    <xdr:clientData/>
  </xdr:oneCellAnchor>
  <xdr:twoCellAnchor>
    <xdr:from>
      <xdr:col>25</xdr:col>
      <xdr:colOff>66675</xdr:colOff>
      <xdr:row>10</xdr:row>
      <xdr:rowOff>1</xdr:rowOff>
    </xdr:from>
    <xdr:to>
      <xdr:col>25</xdr:col>
      <xdr:colOff>71438</xdr:colOff>
      <xdr:row>13</xdr:row>
      <xdr:rowOff>161926</xdr:rowOff>
    </xdr:to>
    <xdr:cxnSp macro="">
      <xdr:nvCxnSpPr>
        <xdr:cNvPr id="153" name="Straight Arrow Connector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 rot="5400000" flipH="1" flipV="1">
          <a:off x="7169944" y="2612232"/>
          <a:ext cx="733425" cy="4763"/>
        </a:xfrm>
        <a:prstGeom prst="straightConnector1">
          <a:avLst/>
        </a:prstGeom>
        <a:ln w="19050">
          <a:solidFill>
            <a:srgbClr val="C00000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38100</xdr:colOff>
      <xdr:row>11</xdr:row>
      <xdr:rowOff>15876</xdr:rowOff>
    </xdr:from>
    <xdr:to>
      <xdr:col>24</xdr:col>
      <xdr:colOff>266700</xdr:colOff>
      <xdr:row>14</xdr:row>
      <xdr:rowOff>63500</xdr:rowOff>
    </xdr:to>
    <xdr:sp macro="" textlink="">
      <xdr:nvSpPr>
        <xdr:cNvPr id="154" name="Text Box 447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384800" y="2111376"/>
          <a:ext cx="1981200" cy="631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Dual requisite (prerequisite or corequisite</a:t>
          </a:r>
          <a:r>
            <a:rPr lang="en-US" sz="1200" b="0" i="0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trace the </a:t>
          </a:r>
        </a:p>
        <a:p>
          <a:pPr algn="r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line back to the dual</a:t>
          </a:r>
          <a:r>
            <a:rPr lang="en-US" sz="12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req)</a:t>
          </a:r>
        </a:p>
      </xdr:txBody>
    </xdr:sp>
    <xdr:clientData/>
  </xdr:twoCellAnchor>
  <xdr:twoCellAnchor>
    <xdr:from>
      <xdr:col>26</xdr:col>
      <xdr:colOff>110490</xdr:colOff>
      <xdr:row>35</xdr:row>
      <xdr:rowOff>30479</xdr:rowOff>
    </xdr:from>
    <xdr:to>
      <xdr:col>36</xdr:col>
      <xdr:colOff>137159</xdr:colOff>
      <xdr:row>35</xdr:row>
      <xdr:rowOff>30479</xdr:rowOff>
    </xdr:to>
    <xdr:sp macro="" textlink="">
      <xdr:nvSpPr>
        <xdr:cNvPr id="1348" name="Line 4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ShapeType="1"/>
        </xdr:cNvSpPr>
      </xdr:nvSpPr>
      <xdr:spPr bwMode="auto">
        <a:xfrm>
          <a:off x="8119110" y="6652259"/>
          <a:ext cx="3143249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22</xdr:row>
      <xdr:rowOff>123825</xdr:rowOff>
    </xdr:from>
    <xdr:to>
      <xdr:col>26</xdr:col>
      <xdr:colOff>142875</xdr:colOff>
      <xdr:row>22</xdr:row>
      <xdr:rowOff>123825</xdr:rowOff>
    </xdr:to>
    <xdr:sp macro="" textlink="">
      <xdr:nvSpPr>
        <xdr:cNvPr id="1349" name="Line 456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ShapeType="1"/>
        </xdr:cNvSpPr>
      </xdr:nvSpPr>
      <xdr:spPr bwMode="auto">
        <a:xfrm flipV="1">
          <a:off x="7762875" y="4267200"/>
          <a:ext cx="1428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104775</xdr:colOff>
      <xdr:row>24</xdr:row>
      <xdr:rowOff>171450</xdr:rowOff>
    </xdr:from>
    <xdr:to>
      <xdr:col>26</xdr:col>
      <xdr:colOff>104775</xdr:colOff>
      <xdr:row>28</xdr:row>
      <xdr:rowOff>175386</xdr:rowOff>
    </xdr:to>
    <xdr:sp macro="" textlink="">
      <xdr:nvSpPr>
        <xdr:cNvPr id="1350" name="Line 10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ShapeType="1"/>
        </xdr:cNvSpPr>
      </xdr:nvSpPr>
      <xdr:spPr bwMode="auto">
        <a:xfrm>
          <a:off x="8113395" y="4682490"/>
          <a:ext cx="0" cy="781176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14287</xdr:colOff>
      <xdr:row>25</xdr:row>
      <xdr:rowOff>57150</xdr:rowOff>
    </xdr:from>
    <xdr:to>
      <xdr:col>34</xdr:col>
      <xdr:colOff>14287</xdr:colOff>
      <xdr:row>26</xdr:row>
      <xdr:rowOff>194310</xdr:rowOff>
    </xdr:to>
    <xdr:sp macro="" textlink="">
      <xdr:nvSpPr>
        <xdr:cNvPr id="1351" name="Line 18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ShapeType="1"/>
        </xdr:cNvSpPr>
      </xdr:nvSpPr>
      <xdr:spPr bwMode="auto">
        <a:xfrm>
          <a:off x="10529887" y="4758690"/>
          <a:ext cx="0" cy="32766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9524</xdr:colOff>
      <xdr:row>22</xdr:row>
      <xdr:rowOff>61913</xdr:rowOff>
    </xdr:from>
    <xdr:to>
      <xdr:col>48</xdr:col>
      <xdr:colOff>152400</xdr:colOff>
      <xdr:row>22</xdr:row>
      <xdr:rowOff>61913</xdr:rowOff>
    </xdr:to>
    <xdr:sp macro="" textlink="">
      <xdr:nvSpPr>
        <xdr:cNvPr id="1352" name="Line 456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ShapeType="1"/>
        </xdr:cNvSpPr>
      </xdr:nvSpPr>
      <xdr:spPr bwMode="auto">
        <a:xfrm flipV="1">
          <a:off x="14182724" y="4205288"/>
          <a:ext cx="438151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142872</xdr:colOff>
      <xdr:row>22</xdr:row>
      <xdr:rowOff>66675</xdr:rowOff>
    </xdr:from>
    <xdr:to>
      <xdr:col>48</xdr:col>
      <xdr:colOff>142872</xdr:colOff>
      <xdr:row>31</xdr:row>
      <xdr:rowOff>114300</xdr:rowOff>
    </xdr:to>
    <xdr:sp macro="" textlink="">
      <xdr:nvSpPr>
        <xdr:cNvPr id="1353" name="Line 467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ShapeType="1"/>
        </xdr:cNvSpPr>
      </xdr:nvSpPr>
      <xdr:spPr bwMode="auto">
        <a:xfrm flipH="1">
          <a:off x="15078072" y="4196715"/>
          <a:ext cx="0" cy="177736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257175</xdr:colOff>
      <xdr:row>24</xdr:row>
      <xdr:rowOff>142875</xdr:rowOff>
    </xdr:from>
    <xdr:to>
      <xdr:col>48</xdr:col>
      <xdr:colOff>11430</xdr:colOff>
      <xdr:row>24</xdr:row>
      <xdr:rowOff>142875</xdr:rowOff>
    </xdr:to>
    <xdr:sp macro="" textlink="">
      <xdr:nvSpPr>
        <xdr:cNvPr id="1355" name="Line 2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ShapeType="1"/>
        </xdr:cNvSpPr>
      </xdr:nvSpPr>
      <xdr:spPr bwMode="auto">
        <a:xfrm>
          <a:off x="12601575" y="4653915"/>
          <a:ext cx="234505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257175</xdr:colOff>
      <xdr:row>24</xdr:row>
      <xdr:rowOff>133350</xdr:rowOff>
    </xdr:from>
    <xdr:to>
      <xdr:col>40</xdr:col>
      <xdr:colOff>257175</xdr:colOff>
      <xdr:row>27</xdr:row>
      <xdr:rowOff>95250</xdr:rowOff>
    </xdr:to>
    <xdr:sp macro="" textlink="">
      <xdr:nvSpPr>
        <xdr:cNvPr id="1356" name="Line 2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ShapeType="1"/>
        </xdr:cNvSpPr>
      </xdr:nvSpPr>
      <xdr:spPr bwMode="auto">
        <a:xfrm rot="5400000" flipH="1">
          <a:off x="11953875" y="4924425"/>
          <a:ext cx="5334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160337</xdr:colOff>
      <xdr:row>35</xdr:row>
      <xdr:rowOff>87630</xdr:rowOff>
    </xdr:from>
    <xdr:to>
      <xdr:col>47</xdr:col>
      <xdr:colOff>160337</xdr:colOff>
      <xdr:row>38</xdr:row>
      <xdr:rowOff>59372</xdr:rowOff>
    </xdr:to>
    <xdr:sp macro="" textlink="">
      <xdr:nvSpPr>
        <xdr:cNvPr id="1357" name="Line 467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ShapeType="1"/>
        </xdr:cNvSpPr>
      </xdr:nvSpPr>
      <xdr:spPr bwMode="auto">
        <a:xfrm flipH="1">
          <a:off x="14790737" y="6709410"/>
          <a:ext cx="0" cy="550862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9525</xdr:colOff>
      <xdr:row>3</xdr:row>
      <xdr:rowOff>104775</xdr:rowOff>
    </xdr:from>
    <xdr:to>
      <xdr:col>13</xdr:col>
      <xdr:colOff>228600</xdr:colOff>
      <xdr:row>7</xdr:row>
      <xdr:rowOff>9525</xdr:rowOff>
    </xdr:to>
    <xdr:pic>
      <xdr:nvPicPr>
        <xdr:cNvPr id="1359" name="Picture 219" descr="Civil Hog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676275"/>
          <a:ext cx="1438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20320</xdr:colOff>
      <xdr:row>34</xdr:row>
      <xdr:rowOff>101600</xdr:rowOff>
    </xdr:from>
    <xdr:to>
      <xdr:col>19</xdr:col>
      <xdr:colOff>64770</xdr:colOff>
      <xdr:row>34</xdr:row>
      <xdr:rowOff>104774</xdr:rowOff>
    </xdr:to>
    <xdr:sp macro="" textlink="">
      <xdr:nvSpPr>
        <xdr:cNvPr id="1360" name="Line 35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ShapeType="1"/>
        </xdr:cNvSpPr>
      </xdr:nvSpPr>
      <xdr:spPr bwMode="auto">
        <a:xfrm>
          <a:off x="1899920" y="6624320"/>
          <a:ext cx="4047490" cy="3174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139700</xdr:colOff>
      <xdr:row>24</xdr:row>
      <xdr:rowOff>57150</xdr:rowOff>
    </xdr:from>
    <xdr:to>
      <xdr:col>34</xdr:col>
      <xdr:colOff>31751</xdr:colOff>
      <xdr:row>24</xdr:row>
      <xdr:rowOff>57150</xdr:rowOff>
    </xdr:to>
    <xdr:sp macro="" textlink="">
      <xdr:nvSpPr>
        <xdr:cNvPr id="1361" name="Line 4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ShapeType="1"/>
        </xdr:cNvSpPr>
      </xdr:nvSpPr>
      <xdr:spPr bwMode="auto">
        <a:xfrm flipV="1">
          <a:off x="7902575" y="4581525"/>
          <a:ext cx="2320926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15240</xdr:colOff>
      <xdr:row>32</xdr:row>
      <xdr:rowOff>146685</xdr:rowOff>
    </xdr:from>
    <xdr:to>
      <xdr:col>35</xdr:col>
      <xdr:colOff>3810</xdr:colOff>
      <xdr:row>32</xdr:row>
      <xdr:rowOff>146685</xdr:rowOff>
    </xdr:to>
    <xdr:sp macro="" textlink="">
      <xdr:nvSpPr>
        <xdr:cNvPr id="1362" name="Line 117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ShapeType="1"/>
        </xdr:cNvSpPr>
      </xdr:nvSpPr>
      <xdr:spPr bwMode="auto">
        <a:xfrm flipV="1">
          <a:off x="10530840" y="6196965"/>
          <a:ext cx="29337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19050</xdr:colOff>
      <xdr:row>32</xdr:row>
      <xdr:rowOff>140970</xdr:rowOff>
    </xdr:from>
    <xdr:to>
      <xdr:col>34</xdr:col>
      <xdr:colOff>22860</xdr:colOff>
      <xdr:row>34</xdr:row>
      <xdr:rowOff>105918</xdr:rowOff>
    </xdr:to>
    <xdr:sp macro="" textlink="">
      <xdr:nvSpPr>
        <xdr:cNvPr id="1363" name="Line 424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10363581" y="6362319"/>
          <a:ext cx="345948" cy="381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200023</xdr:colOff>
      <xdr:row>25</xdr:row>
      <xdr:rowOff>146048</xdr:rowOff>
    </xdr:from>
    <xdr:to>
      <xdr:col>26</xdr:col>
      <xdr:colOff>200023</xdr:colOff>
      <xdr:row>29</xdr:row>
      <xdr:rowOff>87629</xdr:rowOff>
    </xdr:to>
    <xdr:sp macro="" textlink="">
      <xdr:nvSpPr>
        <xdr:cNvPr id="1366" name="Line 9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ShapeType="1"/>
        </xdr:cNvSpPr>
      </xdr:nvSpPr>
      <xdr:spPr bwMode="auto">
        <a:xfrm flipH="1" flipV="1">
          <a:off x="8208643" y="4847588"/>
          <a:ext cx="0" cy="718821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arrow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302895</xdr:colOff>
      <xdr:row>29</xdr:row>
      <xdr:rowOff>88900</xdr:rowOff>
    </xdr:from>
    <xdr:to>
      <xdr:col>26</xdr:col>
      <xdr:colOff>205741</xdr:colOff>
      <xdr:row>29</xdr:row>
      <xdr:rowOff>88900</xdr:rowOff>
    </xdr:to>
    <xdr:sp macro="" textlink="">
      <xdr:nvSpPr>
        <xdr:cNvPr id="1367" name="Line 36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ShapeType="1"/>
        </xdr:cNvSpPr>
      </xdr:nvSpPr>
      <xdr:spPr bwMode="auto">
        <a:xfrm flipV="1">
          <a:off x="7397115" y="5567680"/>
          <a:ext cx="817246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220994</xdr:colOff>
      <xdr:row>30</xdr:row>
      <xdr:rowOff>9525</xdr:rowOff>
    </xdr:from>
    <xdr:to>
      <xdr:col>34</xdr:col>
      <xdr:colOff>28442</xdr:colOff>
      <xdr:row>31</xdr:row>
      <xdr:rowOff>28575</xdr:rowOff>
    </xdr:to>
    <xdr:grpSp>
      <xdr:nvGrpSpPr>
        <xdr:cNvPr id="1368" name="Group 2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GrpSpPr>
          <a:grpSpLocks/>
        </xdr:cNvGrpSpPr>
      </xdr:nvGrpSpPr>
      <xdr:grpSpPr bwMode="auto">
        <a:xfrm flipH="1">
          <a:off x="10025394" y="5749925"/>
          <a:ext cx="99548" cy="209550"/>
          <a:chOff x="407" y="951"/>
          <a:chExt cx="14" cy="24"/>
        </a:xfrm>
      </xdr:grpSpPr>
      <xdr:sp macro="" textlink="">
        <xdr:nvSpPr>
          <xdr:cNvPr id="1450" name="Arc 268">
            <a:extLst>
              <a:ext uri="{FF2B5EF4-FFF2-40B4-BE49-F238E27FC236}">
                <a16:creationId xmlns:a16="http://schemas.microsoft.com/office/drawing/2014/main" id="{00000000-0008-0000-0000-0000AA05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51" name="Arc 269">
            <a:extLst>
              <a:ext uri="{FF2B5EF4-FFF2-40B4-BE49-F238E27FC236}">
                <a16:creationId xmlns:a16="http://schemas.microsoft.com/office/drawing/2014/main" id="{00000000-0008-0000-0000-0000AB050000}"/>
              </a:ext>
            </a:extLst>
          </xdr:cNvPr>
          <xdr:cNvSpPr>
            <a:spLocks/>
          </xdr:cNvSpPr>
        </xdr:nvSpPr>
        <xdr:spPr bwMode="auto">
          <a:xfrm>
            <a:off x="407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303530</xdr:colOff>
      <xdr:row>28</xdr:row>
      <xdr:rowOff>172720</xdr:rowOff>
    </xdr:from>
    <xdr:to>
      <xdr:col>26</xdr:col>
      <xdr:colOff>93980</xdr:colOff>
      <xdr:row>29</xdr:row>
      <xdr:rowOff>182245</xdr:rowOff>
    </xdr:to>
    <xdr:grpSp>
      <xdr:nvGrpSpPr>
        <xdr:cNvPr id="1369" name="Group 46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GrpSpPr>
          <a:grpSpLocks/>
        </xdr:cNvGrpSpPr>
      </xdr:nvGrpSpPr>
      <xdr:grpSpPr bwMode="auto">
        <a:xfrm flipH="1">
          <a:off x="7685405" y="5532120"/>
          <a:ext cx="92075" cy="200025"/>
          <a:chOff x="408" y="951"/>
          <a:chExt cx="13" cy="24"/>
        </a:xfrm>
      </xdr:grpSpPr>
      <xdr:sp macro="" textlink="">
        <xdr:nvSpPr>
          <xdr:cNvPr id="1448" name="Arc 462">
            <a:extLst>
              <a:ext uri="{FF2B5EF4-FFF2-40B4-BE49-F238E27FC236}">
                <a16:creationId xmlns:a16="http://schemas.microsoft.com/office/drawing/2014/main" id="{00000000-0008-0000-0000-0000A805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2225">
            <a:solidFill>
              <a:srgbClr val="C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9" name="Arc 463">
            <a:extLst>
              <a:ext uri="{FF2B5EF4-FFF2-40B4-BE49-F238E27FC236}">
                <a16:creationId xmlns:a16="http://schemas.microsoft.com/office/drawing/2014/main" id="{00000000-0008-0000-0000-0000A905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2225">
            <a:solidFill>
              <a:srgbClr val="C00000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104140</xdr:colOff>
      <xdr:row>30</xdr:row>
      <xdr:rowOff>635</xdr:rowOff>
    </xdr:from>
    <xdr:to>
      <xdr:col>26</xdr:col>
      <xdr:colOff>104140</xdr:colOff>
      <xdr:row>35</xdr:row>
      <xdr:rowOff>45720</xdr:rowOff>
    </xdr:to>
    <xdr:sp macro="" textlink="">
      <xdr:nvSpPr>
        <xdr:cNvPr id="1370" name="Line 10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ShapeType="1"/>
        </xdr:cNvSpPr>
      </xdr:nvSpPr>
      <xdr:spPr bwMode="auto">
        <a:xfrm>
          <a:off x="8112760" y="5669915"/>
          <a:ext cx="0" cy="997585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20318</xdr:colOff>
      <xdr:row>34</xdr:row>
      <xdr:rowOff>121920</xdr:rowOff>
    </xdr:from>
    <xdr:to>
      <xdr:col>6</xdr:col>
      <xdr:colOff>30479</xdr:colOff>
      <xdr:row>42</xdr:row>
      <xdr:rowOff>71120</xdr:rowOff>
    </xdr:to>
    <xdr:sp macro="" textlink="">
      <xdr:nvSpPr>
        <xdr:cNvPr id="1371" name="Line 282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ShapeType="1"/>
        </xdr:cNvSpPr>
      </xdr:nvSpPr>
      <xdr:spPr bwMode="auto">
        <a:xfrm>
          <a:off x="1899918" y="6644640"/>
          <a:ext cx="10161" cy="150368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133350</xdr:colOff>
      <xdr:row>22</xdr:row>
      <xdr:rowOff>114300</xdr:rowOff>
    </xdr:from>
    <xdr:to>
      <xdr:col>26</xdr:col>
      <xdr:colOff>133350</xdr:colOff>
      <xdr:row>24</xdr:row>
      <xdr:rowOff>68580</xdr:rowOff>
    </xdr:to>
    <xdr:sp macro="" textlink="">
      <xdr:nvSpPr>
        <xdr:cNvPr id="1372" name="Line 282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ShapeType="1"/>
        </xdr:cNvSpPr>
      </xdr:nvSpPr>
      <xdr:spPr bwMode="auto">
        <a:xfrm>
          <a:off x="8141970" y="4244340"/>
          <a:ext cx="0" cy="33528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</xdr:colOff>
      <xdr:row>34</xdr:row>
      <xdr:rowOff>0</xdr:rowOff>
    </xdr:from>
    <xdr:to>
      <xdr:col>2</xdr:col>
      <xdr:colOff>161925</xdr:colOff>
      <xdr:row>36</xdr:row>
      <xdr:rowOff>0</xdr:rowOff>
    </xdr:to>
    <xdr:sp macro="" textlink="">
      <xdr:nvSpPr>
        <xdr:cNvPr id="1377" name="Line 22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ShapeType="1"/>
        </xdr:cNvSpPr>
      </xdr:nvSpPr>
      <xdr:spPr bwMode="auto">
        <a:xfrm rot="-5400000">
          <a:off x="6848475" y="8553450"/>
          <a:ext cx="38100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 type="triangl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47</xdr:col>
      <xdr:colOff>123128</xdr:colOff>
      <xdr:row>20</xdr:row>
      <xdr:rowOff>74928</xdr:rowOff>
    </xdr:from>
    <xdr:ext cx="285976" cy="344453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14763688" y="3864608"/>
          <a:ext cx="285976" cy="344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lIns="0" tIns="0" rIns="0" bIns="0" rtlCol="0" anchor="t">
          <a:spAutoFit/>
        </a:bodyPr>
        <a:lstStyle/>
        <a:p>
          <a:pPr algn="ctr"/>
          <a:r>
            <a:rPr lang="en-US" sz="1100"/>
            <a:t>4323</a:t>
          </a:r>
        </a:p>
        <a:p>
          <a:pPr algn="ctr"/>
          <a:r>
            <a:rPr lang="en-US" sz="1100"/>
            <a:t>only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52</xdr:row>
          <xdr:rowOff>0</xdr:rowOff>
        </xdr:from>
        <xdr:to>
          <xdr:col>18</xdr:col>
          <xdr:colOff>0</xdr:colOff>
          <xdr:row>53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285750</xdr:colOff>
          <xdr:row>52</xdr:row>
          <xdr:rowOff>0</xdr:rowOff>
        </xdr:from>
        <xdr:to>
          <xdr:col>39</xdr:col>
          <xdr:colOff>0</xdr:colOff>
          <xdr:row>52</xdr:row>
          <xdr:rowOff>190500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52</xdr:row>
          <xdr:rowOff>0</xdr:rowOff>
        </xdr:from>
        <xdr:to>
          <xdr:col>11</xdr:col>
          <xdr:colOff>0</xdr:colOff>
          <xdr:row>52</xdr:row>
          <xdr:rowOff>190500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42</xdr:row>
          <xdr:rowOff>0</xdr:rowOff>
        </xdr:from>
        <xdr:to>
          <xdr:col>25</xdr:col>
          <xdr:colOff>57150</xdr:colOff>
          <xdr:row>43</xdr:row>
          <xdr:rowOff>9525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37</xdr:row>
          <xdr:rowOff>0</xdr:rowOff>
        </xdr:from>
        <xdr:to>
          <xdr:col>32</xdr:col>
          <xdr:colOff>0</xdr:colOff>
          <xdr:row>38</xdr:row>
          <xdr:rowOff>9525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122555</xdr:colOff>
      <xdr:row>43</xdr:row>
      <xdr:rowOff>99695</xdr:rowOff>
    </xdr:from>
    <xdr:to>
      <xdr:col>28</xdr:col>
      <xdr:colOff>8255</xdr:colOff>
      <xdr:row>43</xdr:row>
      <xdr:rowOff>99695</xdr:rowOff>
    </xdr:to>
    <xdr:sp macro="" textlink="">
      <xdr:nvSpPr>
        <xdr:cNvPr id="1383" name="Line 9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ShapeType="1"/>
        </xdr:cNvSpPr>
      </xdr:nvSpPr>
      <xdr:spPr bwMode="auto">
        <a:xfrm>
          <a:off x="8435975" y="8253095"/>
          <a:ext cx="1905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190500</xdr:colOff>
      <xdr:row>39</xdr:row>
      <xdr:rowOff>0</xdr:rowOff>
    </xdr:from>
    <xdr:to>
      <xdr:col>37</xdr:col>
      <xdr:colOff>190500</xdr:colOff>
      <xdr:row>41</xdr:row>
      <xdr:rowOff>0</xdr:rowOff>
    </xdr:to>
    <xdr:sp macro="" textlink="">
      <xdr:nvSpPr>
        <xdr:cNvPr id="1384" name="Line 22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ShapeType="1"/>
        </xdr:cNvSpPr>
      </xdr:nvSpPr>
      <xdr:spPr bwMode="auto">
        <a:xfrm rot="-5400000">
          <a:off x="8943975" y="7600950"/>
          <a:ext cx="38100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 type="triangl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142874</xdr:colOff>
      <xdr:row>24</xdr:row>
      <xdr:rowOff>162560</xdr:rowOff>
    </xdr:from>
    <xdr:to>
      <xdr:col>26</xdr:col>
      <xdr:colOff>118110</xdr:colOff>
      <xdr:row>24</xdr:row>
      <xdr:rowOff>162560</xdr:rowOff>
    </xdr:to>
    <xdr:sp macro="" textlink="">
      <xdr:nvSpPr>
        <xdr:cNvPr id="1388" name="Line 36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ShapeType="1"/>
        </xdr:cNvSpPr>
      </xdr:nvSpPr>
      <xdr:spPr bwMode="auto">
        <a:xfrm flipV="1">
          <a:off x="7237094" y="4673600"/>
          <a:ext cx="889636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228600</xdr:colOff>
      <xdr:row>22</xdr:row>
      <xdr:rowOff>101600</xdr:rowOff>
    </xdr:from>
    <xdr:to>
      <xdr:col>12</xdr:col>
      <xdr:colOff>228600</xdr:colOff>
      <xdr:row>24</xdr:row>
      <xdr:rowOff>102870</xdr:rowOff>
    </xdr:to>
    <xdr:sp macro="" textlink="">
      <xdr:nvSpPr>
        <xdr:cNvPr id="1391" name="Line 175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ShapeType="1"/>
        </xdr:cNvSpPr>
      </xdr:nvSpPr>
      <xdr:spPr bwMode="auto">
        <a:xfrm>
          <a:off x="3970020" y="4231640"/>
          <a:ext cx="0" cy="38227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219076</xdr:colOff>
      <xdr:row>24</xdr:row>
      <xdr:rowOff>87630</xdr:rowOff>
    </xdr:from>
    <xdr:to>
      <xdr:col>20</xdr:col>
      <xdr:colOff>2668</xdr:colOff>
      <xdr:row>24</xdr:row>
      <xdr:rowOff>87630</xdr:rowOff>
    </xdr:to>
    <xdr:sp macro="" textlink="">
      <xdr:nvSpPr>
        <xdr:cNvPr id="1392" name="Line 4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ShapeType="1"/>
        </xdr:cNvSpPr>
      </xdr:nvSpPr>
      <xdr:spPr bwMode="auto">
        <a:xfrm>
          <a:off x="3960496" y="4598670"/>
          <a:ext cx="222199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6985</xdr:colOff>
      <xdr:row>22</xdr:row>
      <xdr:rowOff>91440</xdr:rowOff>
    </xdr:from>
    <xdr:to>
      <xdr:col>20</xdr:col>
      <xdr:colOff>299593</xdr:colOff>
      <xdr:row>22</xdr:row>
      <xdr:rowOff>91440</xdr:rowOff>
    </xdr:to>
    <xdr:sp macro="" textlink="">
      <xdr:nvSpPr>
        <xdr:cNvPr id="1393" name="Line 5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ShapeType="1"/>
        </xdr:cNvSpPr>
      </xdr:nvSpPr>
      <xdr:spPr bwMode="auto">
        <a:xfrm>
          <a:off x="6186805" y="4221480"/>
          <a:ext cx="292608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80963</xdr:colOff>
      <xdr:row>20</xdr:row>
      <xdr:rowOff>86044</xdr:rowOff>
    </xdr:from>
    <xdr:to>
      <xdr:col>27</xdr:col>
      <xdr:colOff>83820</xdr:colOff>
      <xdr:row>22</xdr:row>
      <xdr:rowOff>19050</xdr:rowOff>
    </xdr:to>
    <xdr:sp macro="" textlink="">
      <xdr:nvSpPr>
        <xdr:cNvPr id="1396" name="Line 17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ShapeType="1"/>
        </xdr:cNvSpPr>
      </xdr:nvSpPr>
      <xdr:spPr bwMode="auto">
        <a:xfrm flipH="1">
          <a:off x="8139113" y="3838894"/>
          <a:ext cx="2857" cy="323531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304799</xdr:colOff>
      <xdr:row>32</xdr:row>
      <xdr:rowOff>104774</xdr:rowOff>
    </xdr:from>
    <xdr:to>
      <xdr:col>7</xdr:col>
      <xdr:colOff>9524</xdr:colOff>
      <xdr:row>32</xdr:row>
      <xdr:rowOff>111759</xdr:rowOff>
    </xdr:to>
    <xdr:sp macro="" textlink="">
      <xdr:nvSpPr>
        <xdr:cNvPr id="1397" name="Line 20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ShapeType="1"/>
        </xdr:cNvSpPr>
      </xdr:nvSpPr>
      <xdr:spPr bwMode="auto">
        <a:xfrm flipV="1">
          <a:off x="1879599" y="6241414"/>
          <a:ext cx="314325" cy="698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20320</xdr:colOff>
      <xdr:row>27</xdr:row>
      <xdr:rowOff>111759</xdr:rowOff>
    </xdr:from>
    <xdr:to>
      <xdr:col>14</xdr:col>
      <xdr:colOff>0</xdr:colOff>
      <xdr:row>27</xdr:row>
      <xdr:rowOff>116204</xdr:rowOff>
    </xdr:to>
    <xdr:sp macro="" textlink="">
      <xdr:nvSpPr>
        <xdr:cNvPr id="1398" name="Line 5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ShapeType="1"/>
        </xdr:cNvSpPr>
      </xdr:nvSpPr>
      <xdr:spPr bwMode="auto">
        <a:xfrm>
          <a:off x="3769360" y="5273039"/>
          <a:ext cx="589280" cy="4445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5668</xdr:colOff>
      <xdr:row>22</xdr:row>
      <xdr:rowOff>80010</xdr:rowOff>
    </xdr:from>
    <xdr:to>
      <xdr:col>20</xdr:col>
      <xdr:colOff>17185</xdr:colOff>
      <xdr:row>37</xdr:row>
      <xdr:rowOff>83820</xdr:rowOff>
    </xdr:to>
    <xdr:sp macro="" textlink="">
      <xdr:nvSpPr>
        <xdr:cNvPr id="1402" name="Line 34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ShapeType="1"/>
        </xdr:cNvSpPr>
      </xdr:nvSpPr>
      <xdr:spPr bwMode="auto">
        <a:xfrm rot="5400000" flipH="1" flipV="1">
          <a:off x="4752972" y="5642566"/>
          <a:ext cx="2876550" cy="11517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27</xdr:row>
      <xdr:rowOff>107950</xdr:rowOff>
    </xdr:from>
    <xdr:to>
      <xdr:col>19</xdr:col>
      <xdr:colOff>205740</xdr:colOff>
      <xdr:row>27</xdr:row>
      <xdr:rowOff>107950</xdr:rowOff>
    </xdr:to>
    <xdr:sp macro="" textlink="">
      <xdr:nvSpPr>
        <xdr:cNvPr id="1403" name="Line 5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ShapeType="1"/>
        </xdr:cNvSpPr>
      </xdr:nvSpPr>
      <xdr:spPr bwMode="auto">
        <a:xfrm>
          <a:off x="5875020" y="5198110"/>
          <a:ext cx="20574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120015</xdr:colOff>
      <xdr:row>34</xdr:row>
      <xdr:rowOff>95249</xdr:rowOff>
    </xdr:from>
    <xdr:to>
      <xdr:col>26</xdr:col>
      <xdr:colOff>284607</xdr:colOff>
      <xdr:row>34</xdr:row>
      <xdr:rowOff>104773</xdr:rowOff>
    </xdr:to>
    <xdr:sp macro="" textlink="">
      <xdr:nvSpPr>
        <xdr:cNvPr id="1405" name="Line 35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ShapeType="1"/>
        </xdr:cNvSpPr>
      </xdr:nvSpPr>
      <xdr:spPr bwMode="auto">
        <a:xfrm flipV="1">
          <a:off x="6307455" y="6617969"/>
          <a:ext cx="1993392" cy="9524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118534</xdr:colOff>
      <xdr:row>35</xdr:row>
      <xdr:rowOff>101598</xdr:rowOff>
    </xdr:from>
    <xdr:to>
      <xdr:col>27</xdr:col>
      <xdr:colOff>76201</xdr:colOff>
      <xdr:row>35</xdr:row>
      <xdr:rowOff>101599</xdr:rowOff>
    </xdr:to>
    <xdr:sp macro="" textlink="">
      <xdr:nvSpPr>
        <xdr:cNvPr id="1406" name="Line 3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ShapeType="1"/>
        </xdr:cNvSpPr>
      </xdr:nvSpPr>
      <xdr:spPr bwMode="auto">
        <a:xfrm>
          <a:off x="6460067" y="6824131"/>
          <a:ext cx="2150534" cy="1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300991</xdr:colOff>
      <xdr:row>27</xdr:row>
      <xdr:rowOff>88900</xdr:rowOff>
    </xdr:from>
    <xdr:to>
      <xdr:col>28</xdr:col>
      <xdr:colOff>0</xdr:colOff>
      <xdr:row>27</xdr:row>
      <xdr:rowOff>88900</xdr:rowOff>
    </xdr:to>
    <xdr:sp macro="" textlink="">
      <xdr:nvSpPr>
        <xdr:cNvPr id="1407" name="Line 5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ShapeType="1"/>
        </xdr:cNvSpPr>
      </xdr:nvSpPr>
      <xdr:spPr bwMode="auto">
        <a:xfrm>
          <a:off x="8004811" y="5179060"/>
          <a:ext cx="613409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118110</xdr:colOff>
      <xdr:row>45</xdr:row>
      <xdr:rowOff>19049</xdr:rowOff>
    </xdr:from>
    <xdr:to>
      <xdr:col>34</xdr:col>
      <xdr:colOff>133350</xdr:colOff>
      <xdr:row>45</xdr:row>
      <xdr:rowOff>19049</xdr:rowOff>
    </xdr:to>
    <xdr:sp macro="" textlink="">
      <xdr:nvSpPr>
        <xdr:cNvPr id="1408" name="Line 35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ShapeType="1"/>
        </xdr:cNvSpPr>
      </xdr:nvSpPr>
      <xdr:spPr bwMode="auto">
        <a:xfrm flipV="1">
          <a:off x="5993130" y="8553449"/>
          <a:ext cx="465582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186055</xdr:colOff>
      <xdr:row>34</xdr:row>
      <xdr:rowOff>95250</xdr:rowOff>
    </xdr:from>
    <xdr:to>
      <xdr:col>34</xdr:col>
      <xdr:colOff>11303</xdr:colOff>
      <xdr:row>34</xdr:row>
      <xdr:rowOff>95250</xdr:rowOff>
    </xdr:to>
    <xdr:sp macro="" textlink="">
      <xdr:nvSpPr>
        <xdr:cNvPr id="1411" name="Line 35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ShapeType="1"/>
        </xdr:cNvSpPr>
      </xdr:nvSpPr>
      <xdr:spPr bwMode="auto">
        <a:xfrm>
          <a:off x="8499475" y="6526530"/>
          <a:ext cx="2027428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42</xdr:row>
      <xdr:rowOff>50800</xdr:rowOff>
    </xdr:from>
    <xdr:to>
      <xdr:col>6</xdr:col>
      <xdr:colOff>60960</xdr:colOff>
      <xdr:row>42</xdr:row>
      <xdr:rowOff>50800</xdr:rowOff>
    </xdr:to>
    <xdr:sp macro="" textlink="">
      <xdr:nvSpPr>
        <xdr:cNvPr id="1412" name="Line 5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ShapeType="1"/>
        </xdr:cNvSpPr>
      </xdr:nvSpPr>
      <xdr:spPr bwMode="auto">
        <a:xfrm flipH="1" flipV="1">
          <a:off x="1605280" y="8128000"/>
          <a:ext cx="33528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53341</xdr:colOff>
      <xdr:row>33</xdr:row>
      <xdr:rowOff>167640</xdr:rowOff>
    </xdr:from>
    <xdr:to>
      <xdr:col>20</xdr:col>
      <xdr:colOff>137958</xdr:colOff>
      <xdr:row>34</xdr:row>
      <xdr:rowOff>91439</xdr:rowOff>
    </xdr:to>
    <xdr:grpSp>
      <xdr:nvGrpSpPr>
        <xdr:cNvPr id="1413" name="Group 215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GrpSpPr>
          <a:grpSpLocks/>
        </xdr:cNvGrpSpPr>
      </xdr:nvGrpSpPr>
      <xdr:grpSpPr bwMode="auto">
        <a:xfrm rot="16200000" flipH="1">
          <a:off x="5823350" y="6348331"/>
          <a:ext cx="114299" cy="376717"/>
          <a:chOff x="408" y="951"/>
          <a:chExt cx="13" cy="24"/>
        </a:xfrm>
        <a:scene3d>
          <a:camera prst="orthographicFront">
            <a:rot lat="0" lon="0" rev="10800000"/>
          </a:camera>
          <a:lightRig rig="threePt" dir="t"/>
        </a:scene3d>
      </xdr:grpSpPr>
      <xdr:sp macro="" textlink="">
        <xdr:nvSpPr>
          <xdr:cNvPr id="1442" name="Arc 216">
            <a:extLst>
              <a:ext uri="{FF2B5EF4-FFF2-40B4-BE49-F238E27FC236}">
                <a16:creationId xmlns:a16="http://schemas.microsoft.com/office/drawing/2014/main" id="{00000000-0008-0000-0000-0000A205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3" name="Arc 217">
            <a:extLst>
              <a:ext uri="{FF2B5EF4-FFF2-40B4-BE49-F238E27FC236}">
                <a16:creationId xmlns:a16="http://schemas.microsoft.com/office/drawing/2014/main" id="{00000000-0008-0000-0000-0000A305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81914</xdr:colOff>
      <xdr:row>32</xdr:row>
      <xdr:rowOff>91440</xdr:rowOff>
    </xdr:from>
    <xdr:to>
      <xdr:col>28</xdr:col>
      <xdr:colOff>7619</xdr:colOff>
      <xdr:row>32</xdr:row>
      <xdr:rowOff>91440</xdr:rowOff>
    </xdr:to>
    <xdr:sp macro="" textlink="">
      <xdr:nvSpPr>
        <xdr:cNvPr id="1414" name="Line 5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ShapeType="1"/>
        </xdr:cNvSpPr>
      </xdr:nvSpPr>
      <xdr:spPr bwMode="auto">
        <a:xfrm>
          <a:off x="8395334" y="6141720"/>
          <a:ext cx="23050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171450</xdr:colOff>
      <xdr:row>34</xdr:row>
      <xdr:rowOff>180975</xdr:rowOff>
    </xdr:from>
    <xdr:to>
      <xdr:col>40</xdr:col>
      <xdr:colOff>266700</xdr:colOff>
      <xdr:row>36</xdr:row>
      <xdr:rowOff>9525</xdr:rowOff>
    </xdr:to>
    <xdr:grpSp>
      <xdr:nvGrpSpPr>
        <xdr:cNvPr id="1415" name="Group 267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GrpSpPr>
          <a:grpSpLocks/>
        </xdr:cNvGrpSpPr>
      </xdr:nvGrpSpPr>
      <xdr:grpSpPr bwMode="auto">
        <a:xfrm flipH="1">
          <a:off x="12020550" y="6683375"/>
          <a:ext cx="95250" cy="209550"/>
          <a:chOff x="408" y="951"/>
          <a:chExt cx="13" cy="24"/>
        </a:xfrm>
      </xdr:grpSpPr>
      <xdr:sp macro="" textlink="">
        <xdr:nvSpPr>
          <xdr:cNvPr id="1440" name="Arc 268">
            <a:extLst>
              <a:ext uri="{FF2B5EF4-FFF2-40B4-BE49-F238E27FC236}">
                <a16:creationId xmlns:a16="http://schemas.microsoft.com/office/drawing/2014/main" id="{00000000-0008-0000-0000-0000A005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41" name="Arc 269">
            <a:extLst>
              <a:ext uri="{FF2B5EF4-FFF2-40B4-BE49-F238E27FC236}">
                <a16:creationId xmlns:a16="http://schemas.microsoft.com/office/drawing/2014/main" id="{00000000-0008-0000-0000-0000A105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38100</xdr:colOff>
      <xdr:row>44</xdr:row>
      <xdr:rowOff>104775</xdr:rowOff>
    </xdr:from>
    <xdr:to>
      <xdr:col>33</xdr:col>
      <xdr:colOff>133350</xdr:colOff>
      <xdr:row>45</xdr:row>
      <xdr:rowOff>114300</xdr:rowOff>
    </xdr:to>
    <xdr:grpSp>
      <xdr:nvGrpSpPr>
        <xdr:cNvPr id="1416" name="Group 2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GrpSpPr>
          <a:grpSpLocks/>
        </xdr:cNvGrpSpPr>
      </xdr:nvGrpSpPr>
      <xdr:grpSpPr bwMode="auto">
        <a:xfrm flipH="1">
          <a:off x="9842500" y="8524875"/>
          <a:ext cx="95250" cy="200025"/>
          <a:chOff x="408" y="951"/>
          <a:chExt cx="13" cy="24"/>
        </a:xfrm>
      </xdr:grpSpPr>
      <xdr:sp macro="" textlink="">
        <xdr:nvSpPr>
          <xdr:cNvPr id="1438" name="Arc 216">
            <a:extLst>
              <a:ext uri="{FF2B5EF4-FFF2-40B4-BE49-F238E27FC236}">
                <a16:creationId xmlns:a16="http://schemas.microsoft.com/office/drawing/2014/main" id="{00000000-0008-0000-0000-00009E05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9" name="Arc 217">
            <a:extLst>
              <a:ext uri="{FF2B5EF4-FFF2-40B4-BE49-F238E27FC236}">
                <a16:creationId xmlns:a16="http://schemas.microsoft.com/office/drawing/2014/main" id="{00000000-0008-0000-0000-00009F05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228600</xdr:colOff>
      <xdr:row>35</xdr:row>
      <xdr:rowOff>16934</xdr:rowOff>
    </xdr:from>
    <xdr:to>
      <xdr:col>33</xdr:col>
      <xdr:colOff>228604</xdr:colOff>
      <xdr:row>36</xdr:row>
      <xdr:rowOff>186269</xdr:rowOff>
    </xdr:to>
    <xdr:sp macro="" textlink="">
      <xdr:nvSpPr>
        <xdr:cNvPr id="1418" name="Line 424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ShapeType="1"/>
        </xdr:cNvSpPr>
      </xdr:nvSpPr>
      <xdr:spPr bwMode="auto">
        <a:xfrm rot="5400000" flipV="1">
          <a:off x="10528300" y="6921500"/>
          <a:ext cx="364069" cy="4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173037</xdr:colOff>
      <xdr:row>36</xdr:row>
      <xdr:rowOff>182563</xdr:rowOff>
    </xdr:from>
    <xdr:to>
      <xdr:col>7</xdr:col>
      <xdr:colOff>19050</xdr:colOff>
      <xdr:row>37</xdr:row>
      <xdr:rowOff>171450</xdr:rowOff>
    </xdr:to>
    <xdr:sp macro="" textlink="">
      <xdr:nvSpPr>
        <xdr:cNvPr id="240" name="Text Box 51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697037" y="7011988"/>
          <a:ext cx="436563" cy="179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52</xdr:row>
          <xdr:rowOff>0</xdr:rowOff>
        </xdr:from>
        <xdr:to>
          <xdr:col>46</xdr:col>
          <xdr:colOff>9525</xdr:colOff>
          <xdr:row>53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51</xdr:row>
          <xdr:rowOff>180975</xdr:rowOff>
        </xdr:from>
        <xdr:to>
          <xdr:col>53</xdr:col>
          <xdr:colOff>9525</xdr:colOff>
          <xdr:row>52</xdr:row>
          <xdr:rowOff>180975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22</xdr:row>
          <xdr:rowOff>0</xdr:rowOff>
        </xdr:from>
        <xdr:to>
          <xdr:col>46</xdr:col>
          <xdr:colOff>0</xdr:colOff>
          <xdr:row>23</xdr:row>
          <xdr:rowOff>9525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40</xdr:col>
      <xdr:colOff>241300</xdr:colOff>
      <xdr:row>19</xdr:row>
      <xdr:rowOff>39370</xdr:rowOff>
    </xdr:from>
    <xdr:ext cx="324332" cy="344453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12595860" y="3737610"/>
          <a:ext cx="324332" cy="344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spAutoFit/>
        </a:bodyPr>
        <a:lstStyle/>
        <a:p>
          <a:pPr algn="ctr"/>
          <a:r>
            <a:rPr lang="en-US" sz="1100"/>
            <a:t>4313</a:t>
          </a:r>
        </a:p>
        <a:p>
          <a:pPr algn="ctr"/>
          <a:r>
            <a:rPr lang="en-US" sz="1100"/>
            <a:t>only</a:t>
          </a:r>
        </a:p>
      </xdr:txBody>
    </xdr:sp>
    <xdr:clientData/>
  </xdr:oneCellAnchor>
  <xdr:oneCellAnchor>
    <xdr:from>
      <xdr:col>43</xdr:col>
      <xdr:colOff>279400</xdr:colOff>
      <xdr:row>24</xdr:row>
      <xdr:rowOff>180975</xdr:rowOff>
    </xdr:from>
    <xdr:ext cx="647700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13081000" y="4727575"/>
          <a:ext cx="64770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spAutoFit/>
        </a:bodyPr>
        <a:lstStyle/>
        <a:p>
          <a:pPr algn="ctr"/>
          <a:r>
            <a:rPr lang="en-US" sz="1100"/>
            <a:t>4313 only</a:t>
          </a:r>
        </a:p>
      </xdr:txBody>
    </xdr:sp>
    <xdr:clientData/>
  </xdr:oneCellAnchor>
  <xdr:twoCellAnchor>
    <xdr:from>
      <xdr:col>48</xdr:col>
      <xdr:colOff>4763</xdr:colOff>
      <xdr:row>24</xdr:row>
      <xdr:rowOff>140970</xdr:rowOff>
    </xdr:from>
    <xdr:to>
      <xdr:col>48</xdr:col>
      <xdr:colOff>4763</xdr:colOff>
      <xdr:row>32</xdr:row>
      <xdr:rowOff>91440</xdr:rowOff>
    </xdr:to>
    <xdr:sp macro="" textlink="">
      <xdr:nvSpPr>
        <xdr:cNvPr id="1425" name="Line 46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ShapeType="1"/>
        </xdr:cNvSpPr>
      </xdr:nvSpPr>
      <xdr:spPr bwMode="auto">
        <a:xfrm flipH="1">
          <a:off x="14939963" y="4652010"/>
          <a:ext cx="0" cy="148971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38100</xdr:colOff>
      <xdr:row>24</xdr:row>
      <xdr:rowOff>0</xdr:rowOff>
    </xdr:from>
    <xdr:to>
      <xdr:col>16</xdr:col>
      <xdr:colOff>38100</xdr:colOff>
      <xdr:row>26</xdr:row>
      <xdr:rowOff>0</xdr:rowOff>
    </xdr:to>
    <xdr:sp macro="" textlink="">
      <xdr:nvSpPr>
        <xdr:cNvPr id="1426" name="Line 15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ShapeType="1"/>
        </xdr:cNvSpPr>
      </xdr:nvSpPr>
      <xdr:spPr bwMode="auto">
        <a:xfrm rot="-5400000">
          <a:off x="4657725" y="4714875"/>
          <a:ext cx="381000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 type="arrow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213360</xdr:colOff>
      <xdr:row>27</xdr:row>
      <xdr:rowOff>121920</xdr:rowOff>
    </xdr:from>
    <xdr:to>
      <xdr:col>19</xdr:col>
      <xdr:colOff>213360</xdr:colOff>
      <xdr:row>35</xdr:row>
      <xdr:rowOff>110490</xdr:rowOff>
    </xdr:to>
    <xdr:sp macro="" textlink="">
      <xdr:nvSpPr>
        <xdr:cNvPr id="1427" name="Line 264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ShapeType="1"/>
        </xdr:cNvSpPr>
      </xdr:nvSpPr>
      <xdr:spPr bwMode="auto">
        <a:xfrm>
          <a:off x="6088380" y="5212080"/>
          <a:ext cx="0" cy="152019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216853</xdr:colOff>
      <xdr:row>32</xdr:row>
      <xdr:rowOff>49530</xdr:rowOff>
    </xdr:from>
    <xdr:to>
      <xdr:col>20</xdr:col>
      <xdr:colOff>121603</xdr:colOff>
      <xdr:row>32</xdr:row>
      <xdr:rowOff>144780</xdr:rowOff>
    </xdr:to>
    <xdr:grpSp>
      <xdr:nvGrpSpPr>
        <xdr:cNvPr id="1428" name="Group 215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GrpSpPr>
          <a:grpSpLocks/>
        </xdr:cNvGrpSpPr>
      </xdr:nvGrpSpPr>
      <xdr:grpSpPr bwMode="auto">
        <a:xfrm rot="5400000" flipH="1">
          <a:off x="5906453" y="6120130"/>
          <a:ext cx="95250" cy="196850"/>
          <a:chOff x="408" y="951"/>
          <a:chExt cx="13" cy="24"/>
        </a:xfrm>
      </xdr:grpSpPr>
      <xdr:sp macro="" textlink="">
        <xdr:nvSpPr>
          <xdr:cNvPr id="1436" name="Arc 216">
            <a:extLst>
              <a:ext uri="{FF2B5EF4-FFF2-40B4-BE49-F238E27FC236}">
                <a16:creationId xmlns:a16="http://schemas.microsoft.com/office/drawing/2014/main" id="{00000000-0008-0000-0000-00009C05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7" name="Arc 217">
            <a:extLst>
              <a:ext uri="{FF2B5EF4-FFF2-40B4-BE49-F238E27FC236}">
                <a16:creationId xmlns:a16="http://schemas.microsoft.com/office/drawing/2014/main" id="{00000000-0008-0000-0000-00009D05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219075</xdr:colOff>
      <xdr:row>26</xdr:row>
      <xdr:rowOff>180975</xdr:rowOff>
    </xdr:from>
    <xdr:to>
      <xdr:col>34</xdr:col>
      <xdr:colOff>19050</xdr:colOff>
      <xdr:row>28</xdr:row>
      <xdr:rowOff>9525</xdr:rowOff>
    </xdr:to>
    <xdr:grpSp>
      <xdr:nvGrpSpPr>
        <xdr:cNvPr id="1431" name="Group 267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GrpSpPr>
          <a:grpSpLocks/>
        </xdr:cNvGrpSpPr>
      </xdr:nvGrpSpPr>
      <xdr:grpSpPr bwMode="auto">
        <a:xfrm flipH="1">
          <a:off x="10023475" y="5133975"/>
          <a:ext cx="92075" cy="234950"/>
          <a:chOff x="408" y="951"/>
          <a:chExt cx="13" cy="24"/>
        </a:xfrm>
      </xdr:grpSpPr>
      <xdr:sp macro="" textlink="">
        <xdr:nvSpPr>
          <xdr:cNvPr id="1434" name="Arc 268">
            <a:extLst>
              <a:ext uri="{FF2B5EF4-FFF2-40B4-BE49-F238E27FC236}">
                <a16:creationId xmlns:a16="http://schemas.microsoft.com/office/drawing/2014/main" id="{00000000-0008-0000-0000-00009A05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435" name="Arc 269">
            <a:extLst>
              <a:ext uri="{FF2B5EF4-FFF2-40B4-BE49-F238E27FC236}">
                <a16:creationId xmlns:a16="http://schemas.microsoft.com/office/drawing/2014/main" id="{00000000-0008-0000-0000-00009B05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34</xdr:col>
      <xdr:colOff>15875</xdr:colOff>
      <xdr:row>28</xdr:row>
      <xdr:rowOff>1</xdr:rowOff>
    </xdr:from>
    <xdr:to>
      <xdr:col>34</xdr:col>
      <xdr:colOff>15875</xdr:colOff>
      <xdr:row>30</xdr:row>
      <xdr:rowOff>25401</xdr:rowOff>
    </xdr:to>
    <xdr:sp macro="" textlink="">
      <xdr:nvSpPr>
        <xdr:cNvPr id="1432" name="Line 18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ShapeType="1"/>
        </xdr:cNvSpPr>
      </xdr:nvSpPr>
      <xdr:spPr bwMode="auto">
        <a:xfrm>
          <a:off x="10207625" y="5286376"/>
          <a:ext cx="0" cy="4064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219710</xdr:colOff>
      <xdr:row>25</xdr:row>
      <xdr:rowOff>12699</xdr:rowOff>
    </xdr:from>
    <xdr:to>
      <xdr:col>1</xdr:col>
      <xdr:colOff>219710</xdr:colOff>
      <xdr:row>26</xdr:row>
      <xdr:rowOff>9524</xdr:rowOff>
    </xdr:to>
    <xdr:sp macro="" textlink="">
      <xdr:nvSpPr>
        <xdr:cNvPr id="223" name="Line 446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ShapeType="1"/>
        </xdr:cNvSpPr>
      </xdr:nvSpPr>
      <xdr:spPr bwMode="auto">
        <a:xfrm rot="5400000" flipH="1">
          <a:off x="429577" y="4872672"/>
          <a:ext cx="189865" cy="0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 type="non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2540</xdr:colOff>
      <xdr:row>24</xdr:row>
      <xdr:rowOff>162561</xdr:rowOff>
    </xdr:from>
    <xdr:ext cx="952500" cy="213359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612140" y="4734561"/>
          <a:ext cx="952500" cy="21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noAutofit/>
        </a:bodyPr>
        <a:lstStyle/>
        <a:p>
          <a:pPr algn="ctr"/>
          <a:r>
            <a:rPr lang="en-US" sz="1100"/>
            <a:t>various MATH</a:t>
          </a:r>
        </a:p>
      </xdr:txBody>
    </xdr:sp>
    <xdr:clientData/>
  </xdr:oneCellAnchor>
  <xdr:twoCellAnchor>
    <xdr:from>
      <xdr:col>8</xdr:col>
      <xdr:colOff>234950</xdr:colOff>
      <xdr:row>29</xdr:row>
      <xdr:rowOff>165099</xdr:rowOff>
    </xdr:from>
    <xdr:to>
      <xdr:col>8</xdr:col>
      <xdr:colOff>234950</xdr:colOff>
      <xdr:row>30</xdr:row>
      <xdr:rowOff>161924</xdr:rowOff>
    </xdr:to>
    <xdr:sp macro="" textlink="">
      <xdr:nvSpPr>
        <xdr:cNvPr id="225" name="Line 446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ShapeType="1"/>
        </xdr:cNvSpPr>
      </xdr:nvSpPr>
      <xdr:spPr bwMode="auto">
        <a:xfrm rot="5400000" flipH="1">
          <a:off x="2551112" y="5754687"/>
          <a:ext cx="187325" cy="0"/>
        </a:xfrm>
        <a:prstGeom prst="line">
          <a:avLst/>
        </a:prstGeom>
        <a:noFill/>
        <a:ln w="28575">
          <a:solidFill>
            <a:srgbClr val="000000"/>
          </a:solidFill>
          <a:prstDash val="sysDot"/>
          <a:round/>
          <a:headEnd type="non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</xdr:col>
      <xdr:colOff>241300</xdr:colOff>
      <xdr:row>29</xdr:row>
      <xdr:rowOff>142875</xdr:rowOff>
    </xdr:from>
    <xdr:ext cx="952500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2628900" y="5641975"/>
          <a:ext cx="95250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spAutoFit/>
        </a:bodyPr>
        <a:lstStyle/>
        <a:p>
          <a:pPr algn="ctr"/>
          <a:r>
            <a:rPr lang="en-US" sz="1100"/>
            <a:t>various MATH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</xdr:colOff>
          <xdr:row>47</xdr:row>
          <xdr:rowOff>0</xdr:rowOff>
        </xdr:from>
        <xdr:to>
          <xdr:col>46</xdr:col>
          <xdr:colOff>9525</xdr:colOff>
          <xdr:row>48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66675</xdr:colOff>
      <xdr:row>22</xdr:row>
      <xdr:rowOff>9525</xdr:rowOff>
    </xdr:from>
    <xdr:to>
      <xdr:col>28</xdr:col>
      <xdr:colOff>9525</xdr:colOff>
      <xdr:row>22</xdr:row>
      <xdr:rowOff>9525</xdr:rowOff>
    </xdr:to>
    <xdr:sp macro="" textlink="">
      <xdr:nvSpPr>
        <xdr:cNvPr id="228" name="Line 5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ShapeType="1"/>
        </xdr:cNvSpPr>
      </xdr:nvSpPr>
      <xdr:spPr bwMode="auto">
        <a:xfrm>
          <a:off x="10163175" y="4175125"/>
          <a:ext cx="2349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34</xdr:col>
      <xdr:colOff>266700</xdr:colOff>
      <xdr:row>0</xdr:row>
      <xdr:rowOff>101600</xdr:rowOff>
    </xdr:from>
    <xdr:to>
      <xdr:col>54</xdr:col>
      <xdr:colOff>141410</xdr:colOff>
      <xdr:row>12</xdr:row>
      <xdr:rowOff>18073</xdr:rowOff>
    </xdr:to>
    <xdr:sp macro="" textlink="">
      <xdr:nvSpPr>
        <xdr:cNvPr id="227" name="Text Box 44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10363200" y="101600"/>
          <a:ext cx="6059610" cy="2202473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sz="1200" b="1" i="0" strike="noStrike">
              <a:solidFill>
                <a:srgbClr val="C00000"/>
              </a:solidFill>
              <a:latin typeface="Arial"/>
              <a:cs typeface="Arial"/>
            </a:rPr>
            <a:t> **********************************   NO EXCEPTIONS    **********************************</a:t>
          </a:r>
          <a:endParaRPr lang="en-US" sz="1200" b="0" i="0" strike="noStrike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lnSpc>
              <a:spcPts val="1300"/>
            </a:lnSpc>
            <a:defRPr sz="1000"/>
          </a:pPr>
          <a:endParaRPr lang="en-US" sz="1200" b="1" i="0" strike="noStrike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lnSpc>
              <a:spcPts val="1300"/>
            </a:lnSpc>
            <a:defRPr sz="1000"/>
          </a:pPr>
          <a:r>
            <a:rPr lang="en-US" sz="1200" b="1" i="0" strike="noStrike">
              <a:solidFill>
                <a:srgbClr val="C00000"/>
              </a:solidFill>
              <a:latin typeface="Arial"/>
              <a:cs typeface="Arial"/>
            </a:rPr>
            <a:t>CVEG DESIGN PROJECTS HAVE CO-REQUISITE COURSES</a:t>
          </a:r>
        </a:p>
        <a:p>
          <a:pPr algn="ctr" rtl="0">
            <a:lnSpc>
              <a:spcPts val="1300"/>
            </a:lnSpc>
            <a:defRPr sz="1000"/>
          </a:pPr>
          <a:r>
            <a:rPr lang="en-US" sz="1200" b="1" i="0" strike="noStrike">
              <a:solidFill>
                <a:srgbClr val="C00000"/>
              </a:solidFill>
              <a:latin typeface="Arial"/>
              <a:cs typeface="Arial"/>
            </a:rPr>
            <a:t>You MUST take the co-requisite course the same semester as the design project.</a:t>
          </a:r>
        </a:p>
        <a:p>
          <a:pPr algn="l" rtl="0">
            <a:lnSpc>
              <a:spcPts val="1300"/>
            </a:lnSpc>
            <a:defRPr sz="1000"/>
          </a:pPr>
          <a:endParaRPr lang="en-US" sz="1200" b="0" i="0" strike="noStrike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lnSpc>
              <a:spcPts val="1300"/>
            </a:lnSpc>
            <a:defRPr sz="1000"/>
          </a:pPr>
          <a:r>
            <a:rPr lang="en-US" sz="1200" b="1" i="0" strike="noStrike">
              <a:solidFill>
                <a:srgbClr val="C00000"/>
              </a:solidFill>
              <a:latin typeface="Arial"/>
              <a:cs typeface="Arial"/>
            </a:rPr>
            <a:t>FALL DESIGN PROJECTS AND</a:t>
          </a:r>
          <a:r>
            <a:rPr lang="en-US" sz="1200" b="1" i="0" strike="noStrike" baseline="0">
              <a:solidFill>
                <a:srgbClr val="C00000"/>
              </a:solidFill>
              <a:latin typeface="Arial"/>
              <a:cs typeface="Arial"/>
            </a:rPr>
            <a:t> CO-REQUISITES:</a:t>
          </a:r>
          <a:endParaRPr lang="en-US" sz="1200" b="1" i="0" strike="noStrike">
            <a:solidFill>
              <a:srgbClr val="C00000"/>
            </a:solidFill>
            <a:latin typeface="Arial"/>
            <a:cs typeface="Arial"/>
          </a:endParaRPr>
        </a:p>
        <a:p>
          <a:pPr algn="ctr" rtl="0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C00000"/>
              </a:solidFill>
              <a:latin typeface="Arial"/>
              <a:cs typeface="Arial"/>
            </a:rPr>
            <a:t>CVEG</a:t>
          </a:r>
          <a:r>
            <a:rPr lang="en-US" sz="1200" b="0" i="0" strike="noStrike" baseline="0">
              <a:solidFill>
                <a:srgbClr val="C00000"/>
              </a:solidFill>
              <a:latin typeface="Arial"/>
              <a:cs typeface="Arial"/>
            </a:rPr>
            <a:t> 4822 + </a:t>
          </a:r>
          <a:r>
            <a:rPr lang="en-US" sz="1200" b="0" i="0" strike="noStrike">
              <a:solidFill>
                <a:srgbClr val="C00000"/>
              </a:solidFill>
              <a:latin typeface="Arial"/>
              <a:cs typeface="Arial"/>
            </a:rPr>
            <a:t>CVEG 4143    AND/OR</a:t>
          </a:r>
          <a:r>
            <a:rPr lang="en-US" sz="1000" b="0" i="0">
              <a:solidFill>
                <a:srgbClr val="C00000"/>
              </a:solidFill>
              <a:latin typeface="+mn-lt"/>
              <a:ea typeface="+mn-ea"/>
              <a:cs typeface="+mn-cs"/>
            </a:rPr>
            <a:t>    </a:t>
          </a:r>
          <a:r>
            <a:rPr lang="en-US" sz="1200" b="0" i="0" strike="noStrike">
              <a:solidFill>
                <a:srgbClr val="C00000"/>
              </a:solidFill>
              <a:latin typeface="Arial"/>
              <a:ea typeface="+mn-ea"/>
              <a:cs typeface="Arial"/>
            </a:rPr>
            <a:t>CV</a:t>
          </a:r>
          <a:r>
            <a:rPr lang="en-US" sz="1200" b="0" i="0" strike="noStrike">
              <a:solidFill>
                <a:srgbClr val="C00000"/>
              </a:solidFill>
              <a:latin typeface="Arial"/>
              <a:cs typeface="Arial"/>
            </a:rPr>
            <a:t>EG 4842 + 4423</a:t>
          </a:r>
        </a:p>
        <a:p>
          <a:pPr algn="ctr" rtl="0">
            <a:lnSpc>
              <a:spcPts val="1300"/>
            </a:lnSpc>
            <a:defRPr sz="1000"/>
          </a:pPr>
          <a:endParaRPr lang="en-US" sz="1200" b="0" i="0" strike="noStrike">
            <a:solidFill>
              <a:srgbClr val="C00000"/>
            </a:solidFill>
            <a:latin typeface="Arial"/>
            <a:cs typeface="Arial"/>
          </a:endParaRPr>
        </a:p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Arial"/>
              <a:ea typeface="+mn-ea"/>
              <a:cs typeface="Arial"/>
            </a:rPr>
            <a:t>SPRING DESIGN PROJECTS AND CO-REQUISITES:</a:t>
          </a:r>
        </a:p>
        <a:p>
          <a:pPr algn="ctr" rtl="0">
            <a:lnSpc>
              <a:spcPts val="1300"/>
            </a:lnSpc>
            <a:defRPr sz="1000"/>
          </a:pPr>
          <a:r>
            <a:rPr lang="en-US" sz="1200" b="0" i="0" strike="noStrike">
              <a:solidFill>
                <a:srgbClr val="C00000"/>
              </a:solidFill>
              <a:latin typeface="Arial"/>
              <a:cs typeface="Arial"/>
            </a:rPr>
            <a:t>CVEG 4812 + CVEG 4243    AND/OR    CVEG 4832 + CVEG 4323</a:t>
          </a: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sz="1200" b="0" i="0" strike="noStrike">
            <a:solidFill>
              <a:schemeClr val="tx2">
                <a:lumMod val="50000"/>
              </a:schemeClr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 strike="noStrike" baseline="0">
              <a:solidFill>
                <a:srgbClr val="C00000"/>
              </a:solidFill>
              <a:latin typeface="Arial" pitchFamily="34" charset="0"/>
              <a:ea typeface="+mn-ea"/>
              <a:cs typeface="Arial" pitchFamily="34" charset="0"/>
            </a:rPr>
            <a:t>CVEG students can have a maximum of 8 hours of D grades</a:t>
          </a: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 strike="noStrike" baseline="0">
              <a:solidFill>
                <a:srgbClr val="C00000"/>
              </a:solidFill>
              <a:latin typeface="Arial" pitchFamily="34" charset="0"/>
              <a:ea typeface="+mn-ea"/>
              <a:cs typeface="Arial" pitchFamily="34" charset="0"/>
            </a:rPr>
            <a:t>that count toward their degree</a:t>
          </a:r>
          <a:r>
            <a:rPr lang="en-US" sz="1200" b="0" i="0" strike="noStrike" baseline="0">
              <a:solidFill>
                <a:schemeClr val="tx2">
                  <a:lumMod val="50000"/>
                </a:schemeClr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endParaRPr lang="en-US" sz="1200" b="0" i="0" strike="noStrike">
            <a:solidFill>
              <a:schemeClr val="tx2">
                <a:lumMod val="50000"/>
              </a:schemeClr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52</xdr:col>
      <xdr:colOff>30480</xdr:colOff>
      <xdr:row>24</xdr:row>
      <xdr:rowOff>20320</xdr:rowOff>
    </xdr:from>
    <xdr:to>
      <xdr:col>52</xdr:col>
      <xdr:colOff>30480</xdr:colOff>
      <xdr:row>25</xdr:row>
      <xdr:rowOff>20320</xdr:rowOff>
    </xdr:to>
    <xdr:sp macro="" textlink="">
      <xdr:nvSpPr>
        <xdr:cNvPr id="229" name="Line 35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ShapeType="1"/>
        </xdr:cNvSpPr>
      </xdr:nvSpPr>
      <xdr:spPr bwMode="auto">
        <a:xfrm rot="5400000" flipV="1">
          <a:off x="15699105" y="4639945"/>
          <a:ext cx="190500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 type="arrow" w="med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49</xdr:col>
      <xdr:colOff>319649</xdr:colOff>
      <xdr:row>24</xdr:row>
      <xdr:rowOff>43961</xdr:rowOff>
    </xdr:from>
    <xdr:ext cx="714376" cy="280205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15083399" y="5330336"/>
          <a:ext cx="7143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/>
            <a:t>Senior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44</xdr:col>
      <xdr:colOff>0</xdr:colOff>
      <xdr:row>31</xdr:row>
      <xdr:rowOff>0</xdr:rowOff>
    </xdr:to>
    <xdr:sp macro="" textlink="">
      <xdr:nvSpPr>
        <xdr:cNvPr id="231" name="Line 35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ShapeType="1"/>
        </xdr:cNvSpPr>
      </xdr:nvSpPr>
      <xdr:spPr bwMode="auto">
        <a:xfrm rot="5400000" flipH="1">
          <a:off x="12941300" y="6667500"/>
          <a:ext cx="38100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 type="non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257175</xdr:colOff>
      <xdr:row>29</xdr:row>
      <xdr:rowOff>0</xdr:rowOff>
    </xdr:from>
    <xdr:to>
      <xdr:col>44</xdr:col>
      <xdr:colOff>257175</xdr:colOff>
      <xdr:row>29</xdr:row>
      <xdr:rowOff>171450</xdr:rowOff>
    </xdr:to>
    <xdr:sp macro="" textlink="">
      <xdr:nvSpPr>
        <xdr:cNvPr id="232" name="Line 35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ShapeType="1"/>
        </xdr:cNvSpPr>
      </xdr:nvSpPr>
      <xdr:spPr bwMode="auto">
        <a:xfrm rot="5400000" flipH="1">
          <a:off x="13303250" y="6562725"/>
          <a:ext cx="17145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 type="non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44</xdr:col>
      <xdr:colOff>41277</xdr:colOff>
      <xdr:row>29</xdr:row>
      <xdr:rowOff>34925</xdr:rowOff>
    </xdr:from>
    <xdr:ext cx="219075" cy="228600"/>
    <xdr:sp macro="" textlink="">
      <xdr:nvSpPr>
        <xdr:cNvPr id="233" name="Text Box 51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3173077" y="6511925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333375</xdr:colOff>
          <xdr:row>27</xdr:row>
          <xdr:rowOff>0</xdr:rowOff>
        </xdr:from>
        <xdr:to>
          <xdr:col>45</xdr:col>
          <xdr:colOff>323850</xdr:colOff>
          <xdr:row>28</xdr:row>
          <xdr:rowOff>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51</xdr:col>
      <xdr:colOff>0</xdr:colOff>
      <xdr:row>29</xdr:row>
      <xdr:rowOff>0</xdr:rowOff>
    </xdr:from>
    <xdr:to>
      <xdr:col>51</xdr:col>
      <xdr:colOff>0</xdr:colOff>
      <xdr:row>31</xdr:row>
      <xdr:rowOff>0</xdr:rowOff>
    </xdr:to>
    <xdr:sp macro="" textlink="">
      <xdr:nvSpPr>
        <xdr:cNvPr id="234" name="Line 364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ShapeType="1"/>
        </xdr:cNvSpPr>
      </xdr:nvSpPr>
      <xdr:spPr bwMode="auto">
        <a:xfrm rot="5400000" flipH="1">
          <a:off x="15138400" y="6680200"/>
          <a:ext cx="381000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 type="non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257175</xdr:colOff>
      <xdr:row>29</xdr:row>
      <xdr:rowOff>0</xdr:rowOff>
    </xdr:from>
    <xdr:to>
      <xdr:col>51</xdr:col>
      <xdr:colOff>257175</xdr:colOff>
      <xdr:row>29</xdr:row>
      <xdr:rowOff>161925</xdr:rowOff>
    </xdr:to>
    <xdr:sp macro="" textlink="">
      <xdr:nvSpPr>
        <xdr:cNvPr id="235" name="Line 515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ShapeType="1"/>
        </xdr:cNvSpPr>
      </xdr:nvSpPr>
      <xdr:spPr bwMode="auto">
        <a:xfrm rot="5400000" flipH="1">
          <a:off x="15505112" y="6570663"/>
          <a:ext cx="161925" cy="0"/>
        </a:xfrm>
        <a:prstGeom prst="line">
          <a:avLst/>
        </a:prstGeom>
        <a:noFill/>
        <a:ln w="25400">
          <a:solidFill>
            <a:srgbClr val="000000"/>
          </a:solidFill>
          <a:prstDash val="sysDot"/>
          <a:round/>
          <a:headEnd type="non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51</xdr:col>
      <xdr:colOff>36514</xdr:colOff>
      <xdr:row>29</xdr:row>
      <xdr:rowOff>34925</xdr:rowOff>
    </xdr:from>
    <xdr:ext cx="219075" cy="228600"/>
    <xdr:sp macro="" textlink="">
      <xdr:nvSpPr>
        <xdr:cNvPr id="236" name="Text Box 516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15365414" y="6524625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or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27</xdr:row>
          <xdr:rowOff>0</xdr:rowOff>
        </xdr:from>
        <xdr:to>
          <xdr:col>53</xdr:col>
          <xdr:colOff>0</xdr:colOff>
          <xdr:row>28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48</xdr:col>
      <xdr:colOff>129540</xdr:colOff>
      <xdr:row>31</xdr:row>
      <xdr:rowOff>100965</xdr:rowOff>
    </xdr:from>
    <xdr:to>
      <xdr:col>48</xdr:col>
      <xdr:colOff>299086</xdr:colOff>
      <xdr:row>31</xdr:row>
      <xdr:rowOff>100965</xdr:rowOff>
    </xdr:to>
    <xdr:sp macro="" textlink="">
      <xdr:nvSpPr>
        <xdr:cNvPr id="237" name="Line 29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ShapeType="1"/>
        </xdr:cNvSpPr>
      </xdr:nvSpPr>
      <xdr:spPr bwMode="auto">
        <a:xfrm>
          <a:off x="15064740" y="5960745"/>
          <a:ext cx="169546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32</xdr:row>
          <xdr:rowOff>0</xdr:rowOff>
        </xdr:from>
        <xdr:to>
          <xdr:col>53</xdr:col>
          <xdr:colOff>0</xdr:colOff>
          <xdr:row>33</xdr:row>
          <xdr:rowOff>9525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51</xdr:col>
      <xdr:colOff>161925</xdr:colOff>
      <xdr:row>25</xdr:row>
      <xdr:rowOff>9525</xdr:rowOff>
    </xdr:from>
    <xdr:to>
      <xdr:col>52</xdr:col>
      <xdr:colOff>12700</xdr:colOff>
      <xdr:row>25</xdr:row>
      <xdr:rowOff>9525</xdr:rowOff>
    </xdr:to>
    <xdr:sp macro="" textlink="">
      <xdr:nvSpPr>
        <xdr:cNvPr id="243" name="Line 83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ShapeType="1"/>
        </xdr:cNvSpPr>
      </xdr:nvSpPr>
      <xdr:spPr bwMode="auto">
        <a:xfrm flipV="1">
          <a:off x="15490825" y="4746625"/>
          <a:ext cx="180975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97788</xdr:colOff>
      <xdr:row>36</xdr:row>
      <xdr:rowOff>13334</xdr:rowOff>
    </xdr:from>
    <xdr:to>
      <xdr:col>33</xdr:col>
      <xdr:colOff>114299</xdr:colOff>
      <xdr:row>41</xdr:row>
      <xdr:rowOff>12700</xdr:rowOff>
    </xdr:to>
    <xdr:sp macro="" textlink="">
      <xdr:nvSpPr>
        <xdr:cNvPr id="249" name="Line 6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ShapeType="1"/>
        </xdr:cNvSpPr>
      </xdr:nvSpPr>
      <xdr:spPr bwMode="auto">
        <a:xfrm>
          <a:off x="9902188" y="6896734"/>
          <a:ext cx="16511" cy="964566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33339</xdr:colOff>
      <xdr:row>42</xdr:row>
      <xdr:rowOff>23815</xdr:rowOff>
    </xdr:from>
    <xdr:to>
      <xdr:col>33</xdr:col>
      <xdr:colOff>233364</xdr:colOff>
      <xdr:row>42</xdr:row>
      <xdr:rowOff>119065</xdr:rowOff>
    </xdr:to>
    <xdr:grpSp>
      <xdr:nvGrpSpPr>
        <xdr:cNvPr id="257" name="Group 8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GrpSpPr>
          <a:grpSpLocks/>
        </xdr:cNvGrpSpPr>
      </xdr:nvGrpSpPr>
      <xdr:grpSpPr bwMode="auto">
        <a:xfrm rot="5400000" flipH="1">
          <a:off x="9890127" y="8010527"/>
          <a:ext cx="95250" cy="200025"/>
          <a:chOff x="408" y="951"/>
          <a:chExt cx="13" cy="24"/>
        </a:xfrm>
      </xdr:grpSpPr>
      <xdr:sp macro="" textlink="">
        <xdr:nvSpPr>
          <xdr:cNvPr id="258" name="Arc 87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9" name="Arc 88">
            <a:extLst>
              <a:ext uri="{FF2B5EF4-FFF2-40B4-BE49-F238E27FC236}">
                <a16:creationId xmlns:a16="http://schemas.microsoft.com/office/drawing/2014/main" id="{00000000-0008-0000-0000-00000301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133348</xdr:colOff>
      <xdr:row>43</xdr:row>
      <xdr:rowOff>86360</xdr:rowOff>
    </xdr:from>
    <xdr:to>
      <xdr:col>27</xdr:col>
      <xdr:colOff>133348</xdr:colOff>
      <xdr:row>45</xdr:row>
      <xdr:rowOff>20320</xdr:rowOff>
    </xdr:to>
    <xdr:sp macro="" textlink="">
      <xdr:nvSpPr>
        <xdr:cNvPr id="261" name="Line 238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ShapeType="1"/>
        </xdr:cNvSpPr>
      </xdr:nvSpPr>
      <xdr:spPr bwMode="auto">
        <a:xfrm rot="5400000" flipH="1">
          <a:off x="8294368" y="8516620"/>
          <a:ext cx="32004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133349</xdr:colOff>
      <xdr:row>45</xdr:row>
      <xdr:rowOff>106681</xdr:rowOff>
    </xdr:from>
    <xdr:to>
      <xdr:col>33</xdr:col>
      <xdr:colOff>133349</xdr:colOff>
      <xdr:row>47</xdr:row>
      <xdr:rowOff>72390</xdr:rowOff>
    </xdr:to>
    <xdr:sp macro="" textlink="">
      <xdr:nvSpPr>
        <xdr:cNvPr id="264" name="Line 27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ShapeType="1"/>
        </xdr:cNvSpPr>
      </xdr:nvSpPr>
      <xdr:spPr bwMode="auto">
        <a:xfrm>
          <a:off x="10344149" y="8641081"/>
          <a:ext cx="0" cy="346709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257174</xdr:colOff>
      <xdr:row>35</xdr:row>
      <xdr:rowOff>190499</xdr:rowOff>
    </xdr:from>
    <xdr:to>
      <xdr:col>40</xdr:col>
      <xdr:colOff>257177</xdr:colOff>
      <xdr:row>37</xdr:row>
      <xdr:rowOff>85725</xdr:rowOff>
    </xdr:to>
    <xdr:sp macro="" textlink="">
      <xdr:nvSpPr>
        <xdr:cNvPr id="265" name="Line 42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ShapeType="1"/>
        </xdr:cNvSpPr>
      </xdr:nvSpPr>
      <xdr:spPr bwMode="auto">
        <a:xfrm rot="5400000" flipH="1">
          <a:off x="12082463" y="6967535"/>
          <a:ext cx="276226" cy="3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1</xdr:colOff>
      <xdr:row>37</xdr:row>
      <xdr:rowOff>76200</xdr:rowOff>
    </xdr:from>
    <xdr:to>
      <xdr:col>40</xdr:col>
      <xdr:colOff>266701</xdr:colOff>
      <xdr:row>37</xdr:row>
      <xdr:rowOff>76200</xdr:rowOff>
    </xdr:to>
    <xdr:sp macro="" textlink="">
      <xdr:nvSpPr>
        <xdr:cNvPr id="266" name="Line 29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ShapeType="1"/>
        </xdr:cNvSpPr>
      </xdr:nvSpPr>
      <xdr:spPr bwMode="auto">
        <a:xfrm>
          <a:off x="11963401" y="7096125"/>
          <a:ext cx="2667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13</xdr:col>
      <xdr:colOff>230336</xdr:colOff>
      <xdr:row>13</xdr:row>
      <xdr:rowOff>160691</xdr:rowOff>
    </xdr:from>
    <xdr:ext cx="468013" cy="18473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 rot="18695983">
          <a:off x="4296277" y="249555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 b="1">
            <a:solidFill>
              <a:srgbClr val="C00000"/>
            </a:solidFill>
          </a:endParaRPr>
        </a:p>
      </xdr:txBody>
    </xdr:sp>
    <xdr:clientData/>
  </xdr:oneCellAnchor>
  <xdr:twoCellAnchor>
    <xdr:from>
      <xdr:col>26</xdr:col>
      <xdr:colOff>0</xdr:colOff>
      <xdr:row>37</xdr:row>
      <xdr:rowOff>126365</xdr:rowOff>
    </xdr:from>
    <xdr:to>
      <xdr:col>26</xdr:col>
      <xdr:colOff>201168</xdr:colOff>
      <xdr:row>37</xdr:row>
      <xdr:rowOff>126365</xdr:rowOff>
    </xdr:to>
    <xdr:sp macro="" textlink="">
      <xdr:nvSpPr>
        <xdr:cNvPr id="238" name="Line 4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ShapeType="1"/>
        </xdr:cNvSpPr>
      </xdr:nvSpPr>
      <xdr:spPr bwMode="auto">
        <a:xfrm>
          <a:off x="8016240" y="7228205"/>
          <a:ext cx="201168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209550</xdr:colOff>
      <xdr:row>37</xdr:row>
      <xdr:rowOff>121920</xdr:rowOff>
    </xdr:from>
    <xdr:to>
      <xdr:col>26</xdr:col>
      <xdr:colOff>209550</xdr:colOff>
      <xdr:row>42</xdr:row>
      <xdr:rowOff>88900</xdr:rowOff>
    </xdr:to>
    <xdr:sp macro="" textlink="">
      <xdr:nvSpPr>
        <xdr:cNvPr id="239" name="Line 4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ShapeType="1"/>
        </xdr:cNvSpPr>
      </xdr:nvSpPr>
      <xdr:spPr bwMode="auto">
        <a:xfrm rot="-5400000">
          <a:off x="7426960" y="7661910"/>
          <a:ext cx="93218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lg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201295</xdr:colOff>
      <xdr:row>42</xdr:row>
      <xdr:rowOff>95885</xdr:rowOff>
    </xdr:from>
    <xdr:to>
      <xdr:col>28</xdr:col>
      <xdr:colOff>3175</xdr:colOff>
      <xdr:row>42</xdr:row>
      <xdr:rowOff>95885</xdr:rowOff>
    </xdr:to>
    <xdr:sp macro="" textlink="">
      <xdr:nvSpPr>
        <xdr:cNvPr id="242" name="Line 9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ShapeType="1"/>
        </xdr:cNvSpPr>
      </xdr:nvSpPr>
      <xdr:spPr bwMode="auto">
        <a:xfrm>
          <a:off x="8209915" y="8058785"/>
          <a:ext cx="41148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123189</xdr:colOff>
      <xdr:row>45</xdr:row>
      <xdr:rowOff>7621</xdr:rowOff>
    </xdr:from>
    <xdr:to>
      <xdr:col>34</xdr:col>
      <xdr:colOff>123189</xdr:colOff>
      <xdr:row>46</xdr:row>
      <xdr:rowOff>99060</xdr:rowOff>
    </xdr:to>
    <xdr:sp macro="" textlink="">
      <xdr:nvSpPr>
        <xdr:cNvPr id="272" name="Line 274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ShapeType="1"/>
        </xdr:cNvSpPr>
      </xdr:nvSpPr>
      <xdr:spPr bwMode="auto">
        <a:xfrm>
          <a:off x="10638789" y="8542021"/>
          <a:ext cx="0" cy="281939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149225</xdr:colOff>
      <xdr:row>26</xdr:row>
      <xdr:rowOff>197485</xdr:rowOff>
    </xdr:from>
    <xdr:to>
      <xdr:col>12</xdr:col>
      <xdr:colOff>254000</xdr:colOff>
      <xdr:row>28</xdr:row>
      <xdr:rowOff>18415</xdr:rowOff>
    </xdr:to>
    <xdr:grpSp>
      <xdr:nvGrpSpPr>
        <xdr:cNvPr id="275" name="Group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GrpSpPr>
          <a:grpSpLocks/>
        </xdr:cNvGrpSpPr>
      </xdr:nvGrpSpPr>
      <xdr:grpSpPr bwMode="auto">
        <a:xfrm flipH="1">
          <a:off x="3743325" y="5150485"/>
          <a:ext cx="104775" cy="227330"/>
          <a:chOff x="408" y="951"/>
          <a:chExt cx="13" cy="24"/>
        </a:xfrm>
      </xdr:grpSpPr>
      <xdr:sp macro="" textlink="">
        <xdr:nvSpPr>
          <xdr:cNvPr id="276" name="Arc 268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77" name="Arc 269">
            <a:extLst>
              <a:ext uri="{FF2B5EF4-FFF2-40B4-BE49-F238E27FC236}">
                <a16:creationId xmlns:a16="http://schemas.microsoft.com/office/drawing/2014/main" id="{00000000-0008-0000-0000-00001501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240030</xdr:colOff>
      <xdr:row>28</xdr:row>
      <xdr:rowOff>15240</xdr:rowOff>
    </xdr:from>
    <xdr:to>
      <xdr:col>12</xdr:col>
      <xdr:colOff>243840</xdr:colOff>
      <xdr:row>34</xdr:row>
      <xdr:rowOff>11430</xdr:rowOff>
    </xdr:to>
    <xdr:sp macro="" textlink="">
      <xdr:nvSpPr>
        <xdr:cNvPr id="278" name="Line 175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ShapeType="1"/>
        </xdr:cNvSpPr>
      </xdr:nvSpPr>
      <xdr:spPr bwMode="auto">
        <a:xfrm flipH="1">
          <a:off x="3981450" y="5303520"/>
          <a:ext cx="3810" cy="113919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228600</xdr:colOff>
      <xdr:row>37</xdr:row>
      <xdr:rowOff>85725</xdr:rowOff>
    </xdr:from>
    <xdr:to>
      <xdr:col>14</xdr:col>
      <xdr:colOff>8255</xdr:colOff>
      <xdr:row>37</xdr:row>
      <xdr:rowOff>85725</xdr:rowOff>
    </xdr:to>
    <xdr:sp macro="" textlink="">
      <xdr:nvSpPr>
        <xdr:cNvPr id="279" name="Line 5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ShapeType="1"/>
        </xdr:cNvSpPr>
      </xdr:nvSpPr>
      <xdr:spPr bwMode="auto">
        <a:xfrm flipV="1">
          <a:off x="3970020" y="7088505"/>
          <a:ext cx="38925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137795</xdr:colOff>
      <xdr:row>33</xdr:row>
      <xdr:rowOff>191135</xdr:rowOff>
    </xdr:from>
    <xdr:to>
      <xdr:col>12</xdr:col>
      <xdr:colOff>242570</xdr:colOff>
      <xdr:row>35</xdr:row>
      <xdr:rowOff>32385</xdr:rowOff>
    </xdr:to>
    <xdr:grpSp>
      <xdr:nvGrpSpPr>
        <xdr:cNvPr id="280" name="Group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GrpSpPr>
          <a:grpSpLocks/>
        </xdr:cNvGrpSpPr>
      </xdr:nvGrpSpPr>
      <xdr:grpSpPr bwMode="auto">
        <a:xfrm flipH="1">
          <a:off x="3731895" y="6503035"/>
          <a:ext cx="104775" cy="222250"/>
          <a:chOff x="408" y="951"/>
          <a:chExt cx="13" cy="24"/>
        </a:xfrm>
      </xdr:grpSpPr>
      <xdr:sp macro="" textlink="">
        <xdr:nvSpPr>
          <xdr:cNvPr id="281" name="Arc 268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2" name="Arc 269">
            <a:extLst>
              <a:ext uri="{FF2B5EF4-FFF2-40B4-BE49-F238E27FC236}">
                <a16:creationId xmlns:a16="http://schemas.microsoft.com/office/drawing/2014/main" id="{00000000-0008-0000-0000-00001A01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238760</xdr:colOff>
      <xdr:row>35</xdr:row>
      <xdr:rowOff>20320</xdr:rowOff>
    </xdr:from>
    <xdr:to>
      <xdr:col>12</xdr:col>
      <xdr:colOff>238760</xdr:colOff>
      <xdr:row>37</xdr:row>
      <xdr:rowOff>91440</xdr:rowOff>
    </xdr:to>
    <xdr:sp macro="" textlink="">
      <xdr:nvSpPr>
        <xdr:cNvPr id="283" name="Line 175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ShapeType="1"/>
        </xdr:cNvSpPr>
      </xdr:nvSpPr>
      <xdr:spPr bwMode="auto">
        <a:xfrm>
          <a:off x="3987800" y="6736080"/>
          <a:ext cx="0" cy="4572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22</xdr:row>
      <xdr:rowOff>50165</xdr:rowOff>
    </xdr:from>
    <xdr:to>
      <xdr:col>41</xdr:col>
      <xdr:colOff>163956</xdr:colOff>
      <xdr:row>22</xdr:row>
      <xdr:rowOff>50165</xdr:rowOff>
    </xdr:to>
    <xdr:sp macro="" textlink="">
      <xdr:nvSpPr>
        <xdr:cNvPr id="284" name="Line 2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ShapeType="1"/>
        </xdr:cNvSpPr>
      </xdr:nvSpPr>
      <xdr:spPr bwMode="auto">
        <a:xfrm flipV="1">
          <a:off x="10210800" y="4180205"/>
          <a:ext cx="2602356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56515</xdr:colOff>
      <xdr:row>21</xdr:row>
      <xdr:rowOff>125095</xdr:rowOff>
    </xdr:from>
    <xdr:to>
      <xdr:col>39</xdr:col>
      <xdr:colOff>161290</xdr:colOff>
      <xdr:row>22</xdr:row>
      <xdr:rowOff>167005</xdr:rowOff>
    </xdr:to>
    <xdr:grpSp>
      <xdr:nvGrpSpPr>
        <xdr:cNvPr id="285" name="Group 26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GrpSpPr>
          <a:grpSpLocks/>
        </xdr:cNvGrpSpPr>
      </xdr:nvGrpSpPr>
      <xdr:grpSpPr bwMode="auto">
        <a:xfrm flipH="1">
          <a:off x="11613515" y="4125595"/>
          <a:ext cx="104775" cy="232410"/>
          <a:chOff x="408" y="951"/>
          <a:chExt cx="13" cy="24"/>
        </a:xfrm>
      </xdr:grpSpPr>
      <xdr:sp macro="" textlink="">
        <xdr:nvSpPr>
          <xdr:cNvPr id="286" name="Arc 268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7" name="Arc 269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165100</xdr:colOff>
      <xdr:row>32</xdr:row>
      <xdr:rowOff>95250</xdr:rowOff>
    </xdr:from>
    <xdr:to>
      <xdr:col>42</xdr:col>
      <xdr:colOff>2540</xdr:colOff>
      <xdr:row>32</xdr:row>
      <xdr:rowOff>95250</xdr:rowOff>
    </xdr:to>
    <xdr:sp macro="" textlink="">
      <xdr:nvSpPr>
        <xdr:cNvPr id="288" name="Line 13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ShapeType="1"/>
        </xdr:cNvSpPr>
      </xdr:nvSpPr>
      <xdr:spPr bwMode="auto">
        <a:xfrm flipV="1">
          <a:off x="12824460" y="6231890"/>
          <a:ext cx="18288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66675</xdr:colOff>
      <xdr:row>24</xdr:row>
      <xdr:rowOff>28575</xdr:rowOff>
    </xdr:from>
    <xdr:to>
      <xdr:col>41</xdr:col>
      <xdr:colOff>171450</xdr:colOff>
      <xdr:row>25</xdr:row>
      <xdr:rowOff>70485</xdr:rowOff>
    </xdr:to>
    <xdr:grpSp>
      <xdr:nvGrpSpPr>
        <xdr:cNvPr id="293" name="Group 267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GrpSpPr>
          <a:grpSpLocks/>
        </xdr:cNvGrpSpPr>
      </xdr:nvGrpSpPr>
      <xdr:grpSpPr bwMode="auto">
        <a:xfrm flipH="1">
          <a:off x="12207875" y="4600575"/>
          <a:ext cx="104775" cy="232410"/>
          <a:chOff x="408" y="951"/>
          <a:chExt cx="13" cy="24"/>
        </a:xfrm>
      </xdr:grpSpPr>
      <xdr:sp macro="" textlink="">
        <xdr:nvSpPr>
          <xdr:cNvPr id="294" name="Arc 268">
            <a:extLst>
              <a:ext uri="{FF2B5EF4-FFF2-40B4-BE49-F238E27FC236}">
                <a16:creationId xmlns:a16="http://schemas.microsoft.com/office/drawing/2014/main" id="{00000000-0008-0000-0000-00002601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95" name="Arc 269">
            <a:extLst>
              <a:ext uri="{FF2B5EF4-FFF2-40B4-BE49-F238E27FC236}">
                <a16:creationId xmlns:a16="http://schemas.microsoft.com/office/drawing/2014/main" id="{00000000-0008-0000-0000-00002701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173355</xdr:colOff>
      <xdr:row>22</xdr:row>
      <xdr:rowOff>36828</xdr:rowOff>
    </xdr:from>
    <xdr:to>
      <xdr:col>41</xdr:col>
      <xdr:colOff>173355</xdr:colOff>
      <xdr:row>24</xdr:row>
      <xdr:rowOff>41909</xdr:rowOff>
    </xdr:to>
    <xdr:sp macro="" textlink="">
      <xdr:nvSpPr>
        <xdr:cNvPr id="296" name="Line 42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ShapeType="1"/>
        </xdr:cNvSpPr>
      </xdr:nvSpPr>
      <xdr:spPr bwMode="auto">
        <a:xfrm rot="5400000" flipH="1">
          <a:off x="12629514" y="4359909"/>
          <a:ext cx="386081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165735</xdr:colOff>
      <xdr:row>25</xdr:row>
      <xdr:rowOff>68578</xdr:rowOff>
    </xdr:from>
    <xdr:to>
      <xdr:col>41</xdr:col>
      <xdr:colOff>165735</xdr:colOff>
      <xdr:row>32</xdr:row>
      <xdr:rowOff>25399</xdr:rowOff>
    </xdr:to>
    <xdr:sp macro="" textlink="">
      <xdr:nvSpPr>
        <xdr:cNvPr id="297" name="Line 424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ShapeType="1"/>
        </xdr:cNvSpPr>
      </xdr:nvSpPr>
      <xdr:spPr bwMode="auto">
        <a:xfrm rot="5400000" flipH="1">
          <a:off x="11649074" y="5488939"/>
          <a:ext cx="1315721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175895</xdr:colOff>
      <xdr:row>32</xdr:row>
      <xdr:rowOff>7618</xdr:rowOff>
    </xdr:from>
    <xdr:to>
      <xdr:col>41</xdr:col>
      <xdr:colOff>175895</xdr:colOff>
      <xdr:row>32</xdr:row>
      <xdr:rowOff>175259</xdr:rowOff>
    </xdr:to>
    <xdr:sp macro="" textlink="">
      <xdr:nvSpPr>
        <xdr:cNvPr id="298" name="Line 42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ShapeType="1"/>
        </xdr:cNvSpPr>
      </xdr:nvSpPr>
      <xdr:spPr bwMode="auto">
        <a:xfrm rot="5400000" flipH="1">
          <a:off x="12741274" y="6141719"/>
          <a:ext cx="167641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97155</xdr:colOff>
      <xdr:row>34</xdr:row>
      <xdr:rowOff>180975</xdr:rowOff>
    </xdr:from>
    <xdr:to>
      <xdr:col>41</xdr:col>
      <xdr:colOff>201930</xdr:colOff>
      <xdr:row>36</xdr:row>
      <xdr:rowOff>29845</xdr:rowOff>
    </xdr:to>
    <xdr:grpSp>
      <xdr:nvGrpSpPr>
        <xdr:cNvPr id="299" name="Group 26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GrpSpPr>
          <a:grpSpLocks/>
        </xdr:cNvGrpSpPr>
      </xdr:nvGrpSpPr>
      <xdr:grpSpPr bwMode="auto">
        <a:xfrm flipH="1">
          <a:off x="12238355" y="6683375"/>
          <a:ext cx="104775" cy="229870"/>
          <a:chOff x="408" y="951"/>
          <a:chExt cx="13" cy="24"/>
        </a:xfrm>
      </xdr:grpSpPr>
      <xdr:sp macro="" textlink="">
        <xdr:nvSpPr>
          <xdr:cNvPr id="300" name="Arc 268">
            <a:extLst>
              <a:ext uri="{FF2B5EF4-FFF2-40B4-BE49-F238E27FC236}">
                <a16:creationId xmlns:a16="http://schemas.microsoft.com/office/drawing/2014/main" id="{00000000-0008-0000-0000-00002C01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1" name="Arc 269">
            <a:extLst>
              <a:ext uri="{FF2B5EF4-FFF2-40B4-BE49-F238E27FC236}">
                <a16:creationId xmlns:a16="http://schemas.microsoft.com/office/drawing/2014/main" id="{00000000-0008-0000-0000-00002D01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175260</xdr:colOff>
      <xdr:row>37</xdr:row>
      <xdr:rowOff>34290</xdr:rowOff>
    </xdr:from>
    <xdr:to>
      <xdr:col>42</xdr:col>
      <xdr:colOff>7620</xdr:colOff>
      <xdr:row>37</xdr:row>
      <xdr:rowOff>34290</xdr:rowOff>
    </xdr:to>
    <xdr:sp macro="" textlink="">
      <xdr:nvSpPr>
        <xdr:cNvPr id="302" name="Line 13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ShapeType="1"/>
        </xdr:cNvSpPr>
      </xdr:nvSpPr>
      <xdr:spPr bwMode="auto">
        <a:xfrm flipV="1">
          <a:off x="12824460" y="7037070"/>
          <a:ext cx="1752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243840</xdr:colOff>
      <xdr:row>33</xdr:row>
      <xdr:rowOff>85090</xdr:rowOff>
    </xdr:from>
    <xdr:to>
      <xdr:col>42</xdr:col>
      <xdr:colOff>3302</xdr:colOff>
      <xdr:row>33</xdr:row>
      <xdr:rowOff>85090</xdr:rowOff>
    </xdr:to>
    <xdr:sp macro="" textlink="">
      <xdr:nvSpPr>
        <xdr:cNvPr id="303" name="Line 13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>
          <a:spLocks noChangeShapeType="1"/>
        </xdr:cNvSpPr>
      </xdr:nvSpPr>
      <xdr:spPr bwMode="auto">
        <a:xfrm flipV="1">
          <a:off x="12588240" y="6325870"/>
          <a:ext cx="40716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76835</xdr:colOff>
      <xdr:row>32</xdr:row>
      <xdr:rowOff>160655</xdr:rowOff>
    </xdr:from>
    <xdr:to>
      <xdr:col>41</xdr:col>
      <xdr:colOff>181610</xdr:colOff>
      <xdr:row>34</xdr:row>
      <xdr:rowOff>9525</xdr:rowOff>
    </xdr:to>
    <xdr:grpSp>
      <xdr:nvGrpSpPr>
        <xdr:cNvPr id="304" name="Group 267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GrpSpPr>
          <a:grpSpLocks/>
        </xdr:cNvGrpSpPr>
      </xdr:nvGrpSpPr>
      <xdr:grpSpPr bwMode="auto">
        <a:xfrm flipH="1">
          <a:off x="12218035" y="6282055"/>
          <a:ext cx="104775" cy="229870"/>
          <a:chOff x="408" y="951"/>
          <a:chExt cx="13" cy="24"/>
        </a:xfrm>
      </xdr:grpSpPr>
      <xdr:sp macro="" textlink="">
        <xdr:nvSpPr>
          <xdr:cNvPr id="305" name="Arc 268">
            <a:extLst>
              <a:ext uri="{FF2B5EF4-FFF2-40B4-BE49-F238E27FC236}">
                <a16:creationId xmlns:a16="http://schemas.microsoft.com/office/drawing/2014/main" id="{00000000-0008-0000-0000-00003101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6" name="Arc 269">
            <a:extLst>
              <a:ext uri="{FF2B5EF4-FFF2-40B4-BE49-F238E27FC236}">
                <a16:creationId xmlns:a16="http://schemas.microsoft.com/office/drawing/2014/main" id="{00000000-0008-0000-0000-00003201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41</xdr:col>
      <xdr:colOff>186057</xdr:colOff>
      <xdr:row>36</xdr:row>
      <xdr:rowOff>26669</xdr:rowOff>
    </xdr:from>
    <xdr:to>
      <xdr:col>41</xdr:col>
      <xdr:colOff>186057</xdr:colOff>
      <xdr:row>37</xdr:row>
      <xdr:rowOff>43178</xdr:rowOff>
    </xdr:to>
    <xdr:sp macro="" textlink="">
      <xdr:nvSpPr>
        <xdr:cNvPr id="307" name="Line 424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>
          <a:spLocks noChangeShapeType="1"/>
        </xdr:cNvSpPr>
      </xdr:nvSpPr>
      <xdr:spPr bwMode="auto">
        <a:xfrm rot="5400000" flipH="1">
          <a:off x="12731752" y="6942454"/>
          <a:ext cx="207009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186054</xdr:colOff>
      <xdr:row>33</xdr:row>
      <xdr:rowOff>190499</xdr:rowOff>
    </xdr:from>
    <xdr:to>
      <xdr:col>41</xdr:col>
      <xdr:colOff>186057</xdr:colOff>
      <xdr:row>34</xdr:row>
      <xdr:rowOff>180339</xdr:rowOff>
    </xdr:to>
    <xdr:sp macro="" textlink="">
      <xdr:nvSpPr>
        <xdr:cNvPr id="308" name="Line 424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>
          <a:spLocks noChangeShapeType="1"/>
        </xdr:cNvSpPr>
      </xdr:nvSpPr>
      <xdr:spPr bwMode="auto">
        <a:xfrm rot="5400000" flipH="1">
          <a:off x="12753976" y="6611617"/>
          <a:ext cx="182880" cy="3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165735</xdr:colOff>
      <xdr:row>35</xdr:row>
      <xdr:rowOff>635</xdr:rowOff>
    </xdr:from>
    <xdr:to>
      <xdr:col>48</xdr:col>
      <xdr:colOff>74295</xdr:colOff>
      <xdr:row>35</xdr:row>
      <xdr:rowOff>635</xdr:rowOff>
    </xdr:to>
    <xdr:sp macro="" textlink="">
      <xdr:nvSpPr>
        <xdr:cNvPr id="310" name="Line 2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>
          <a:spLocks noChangeShapeType="1"/>
        </xdr:cNvSpPr>
      </xdr:nvSpPr>
      <xdr:spPr bwMode="auto">
        <a:xfrm>
          <a:off x="12825095" y="6716395"/>
          <a:ext cx="21945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81915</xdr:colOff>
      <xdr:row>33</xdr:row>
      <xdr:rowOff>45719</xdr:rowOff>
    </xdr:from>
    <xdr:to>
      <xdr:col>48</xdr:col>
      <xdr:colOff>81915</xdr:colOff>
      <xdr:row>36</xdr:row>
      <xdr:rowOff>182880</xdr:rowOff>
    </xdr:to>
    <xdr:sp macro="" textlink="">
      <xdr:nvSpPr>
        <xdr:cNvPr id="311" name="Line 824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>
          <a:spLocks noChangeShapeType="1"/>
        </xdr:cNvSpPr>
      </xdr:nvSpPr>
      <xdr:spPr bwMode="auto">
        <a:xfrm flipH="1">
          <a:off x="15017115" y="6286499"/>
          <a:ext cx="0" cy="708661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med"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79057</xdr:colOff>
      <xdr:row>36</xdr:row>
      <xdr:rowOff>170815</xdr:rowOff>
    </xdr:from>
    <xdr:to>
      <xdr:col>49</xdr:col>
      <xdr:colOff>2857</xdr:colOff>
      <xdr:row>36</xdr:row>
      <xdr:rowOff>170815</xdr:rowOff>
    </xdr:to>
    <xdr:sp macro="" textlink="">
      <xdr:nvSpPr>
        <xdr:cNvPr id="313" name="Line 294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>
          <a:spLocks noChangeShapeType="1"/>
        </xdr:cNvSpPr>
      </xdr:nvSpPr>
      <xdr:spPr bwMode="auto">
        <a:xfrm>
          <a:off x="15014257" y="6983095"/>
          <a:ext cx="2286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213995</xdr:colOff>
      <xdr:row>27</xdr:row>
      <xdr:rowOff>25083</xdr:rowOff>
    </xdr:from>
    <xdr:to>
      <xdr:col>20</xdr:col>
      <xdr:colOff>116840</xdr:colOff>
      <xdr:row>27</xdr:row>
      <xdr:rowOff>122873</xdr:rowOff>
    </xdr:to>
    <xdr:grpSp>
      <xdr:nvGrpSpPr>
        <xdr:cNvPr id="314" name="Group 21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GrpSpPr>
          <a:grpSpLocks/>
        </xdr:cNvGrpSpPr>
      </xdr:nvGrpSpPr>
      <xdr:grpSpPr bwMode="auto">
        <a:xfrm rot="5400000" flipH="1">
          <a:off x="5901373" y="5132705"/>
          <a:ext cx="97790" cy="194945"/>
          <a:chOff x="408" y="951"/>
          <a:chExt cx="13" cy="24"/>
        </a:xfrm>
      </xdr:grpSpPr>
      <xdr:sp macro="" textlink="">
        <xdr:nvSpPr>
          <xdr:cNvPr id="315" name="Arc 216">
            <a:extLst>
              <a:ext uri="{FF2B5EF4-FFF2-40B4-BE49-F238E27FC236}">
                <a16:creationId xmlns:a16="http://schemas.microsoft.com/office/drawing/2014/main" id="{00000000-0008-0000-0000-00003B01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6" name="Arc 217">
            <a:extLst>
              <a:ext uri="{FF2B5EF4-FFF2-40B4-BE49-F238E27FC236}">
                <a16:creationId xmlns:a16="http://schemas.microsoft.com/office/drawing/2014/main" id="{00000000-0008-0000-0000-00003C01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104138</xdr:colOff>
      <xdr:row>27</xdr:row>
      <xdr:rowOff>104140</xdr:rowOff>
    </xdr:from>
    <xdr:to>
      <xdr:col>21</xdr:col>
      <xdr:colOff>506</xdr:colOff>
      <xdr:row>27</xdr:row>
      <xdr:rowOff>107950</xdr:rowOff>
    </xdr:to>
    <xdr:sp macro="" textlink="">
      <xdr:nvSpPr>
        <xdr:cNvPr id="317" name="Line 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>
          <a:spLocks noChangeShapeType="1"/>
        </xdr:cNvSpPr>
      </xdr:nvSpPr>
      <xdr:spPr bwMode="auto">
        <a:xfrm flipV="1">
          <a:off x="6283958" y="5194300"/>
          <a:ext cx="201168" cy="381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111758</xdr:colOff>
      <xdr:row>32</xdr:row>
      <xdr:rowOff>149860</xdr:rowOff>
    </xdr:from>
    <xdr:to>
      <xdr:col>21</xdr:col>
      <xdr:colOff>8126</xdr:colOff>
      <xdr:row>32</xdr:row>
      <xdr:rowOff>153670</xdr:rowOff>
    </xdr:to>
    <xdr:sp macro="" textlink="">
      <xdr:nvSpPr>
        <xdr:cNvPr id="319" name="Line 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>
          <a:spLocks noChangeShapeType="1"/>
        </xdr:cNvSpPr>
      </xdr:nvSpPr>
      <xdr:spPr bwMode="auto">
        <a:xfrm flipV="1">
          <a:off x="6291578" y="6200140"/>
          <a:ext cx="201168" cy="381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43</xdr:col>
      <xdr:colOff>299329</xdr:colOff>
      <xdr:row>44</xdr:row>
      <xdr:rowOff>54121</xdr:rowOff>
    </xdr:from>
    <xdr:ext cx="714376" cy="280205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13639409" y="8517401"/>
          <a:ext cx="7143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200"/>
            <a:t>Senior</a:t>
          </a:r>
        </a:p>
      </xdr:txBody>
    </xdr:sp>
    <xdr:clientData/>
  </xdr:oneCellAnchor>
  <xdr:twoCellAnchor>
    <xdr:from>
      <xdr:col>46</xdr:col>
      <xdr:colOff>50800</xdr:colOff>
      <xdr:row>44</xdr:row>
      <xdr:rowOff>20320</xdr:rowOff>
    </xdr:from>
    <xdr:to>
      <xdr:col>46</xdr:col>
      <xdr:colOff>50800</xdr:colOff>
      <xdr:row>45</xdr:row>
      <xdr:rowOff>20320</xdr:rowOff>
    </xdr:to>
    <xdr:sp macro="" textlink="">
      <xdr:nvSpPr>
        <xdr:cNvPr id="321" name="Line 35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>
          <a:spLocks noChangeShapeType="1"/>
        </xdr:cNvSpPr>
      </xdr:nvSpPr>
      <xdr:spPr bwMode="auto">
        <a:xfrm rot="5400000" flipV="1">
          <a:off x="14300200" y="8580120"/>
          <a:ext cx="193040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 type="arrow" w="med" len="med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172085</xdr:colOff>
      <xdr:row>45</xdr:row>
      <xdr:rowOff>9525</xdr:rowOff>
    </xdr:from>
    <xdr:to>
      <xdr:col>46</xdr:col>
      <xdr:colOff>33020</xdr:colOff>
      <xdr:row>45</xdr:row>
      <xdr:rowOff>9525</xdr:rowOff>
    </xdr:to>
    <xdr:sp macro="" textlink="">
      <xdr:nvSpPr>
        <xdr:cNvPr id="322" name="Line 83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>
          <a:spLocks noChangeShapeType="1"/>
        </xdr:cNvSpPr>
      </xdr:nvSpPr>
      <xdr:spPr bwMode="auto">
        <a:xfrm flipV="1">
          <a:off x="14182725" y="8665845"/>
          <a:ext cx="196215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251460</xdr:colOff>
      <xdr:row>29</xdr:row>
      <xdr:rowOff>1270</xdr:rowOff>
    </xdr:from>
    <xdr:to>
      <xdr:col>22</xdr:col>
      <xdr:colOff>251460</xdr:colOff>
      <xdr:row>31</xdr:row>
      <xdr:rowOff>1270</xdr:rowOff>
    </xdr:to>
    <xdr:sp macro="" textlink="">
      <xdr:nvSpPr>
        <xdr:cNvPr id="323" name="Line 15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>
          <a:spLocks noChangeShapeType="1"/>
        </xdr:cNvSpPr>
      </xdr:nvSpPr>
      <xdr:spPr bwMode="auto">
        <a:xfrm rot="-5400000">
          <a:off x="6855460" y="5751830"/>
          <a:ext cx="386080" cy="0"/>
        </a:xfrm>
        <a:prstGeom prst="line">
          <a:avLst/>
        </a:prstGeom>
        <a:noFill/>
        <a:ln w="19050">
          <a:solidFill>
            <a:srgbClr val="C00000"/>
          </a:solidFill>
          <a:prstDash val="sysDash"/>
          <a:round/>
          <a:headEnd type="arrow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200766</xdr:colOff>
      <xdr:row>35</xdr:row>
      <xdr:rowOff>11430</xdr:rowOff>
    </xdr:from>
    <xdr:to>
      <xdr:col>20</xdr:col>
      <xdr:colOff>105516</xdr:colOff>
      <xdr:row>35</xdr:row>
      <xdr:rowOff>106680</xdr:rowOff>
    </xdr:to>
    <xdr:grpSp>
      <xdr:nvGrpSpPr>
        <xdr:cNvPr id="328" name="Group 215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GrpSpPr>
          <a:grpSpLocks/>
        </xdr:cNvGrpSpPr>
      </xdr:nvGrpSpPr>
      <xdr:grpSpPr bwMode="auto">
        <a:xfrm rot="5400000" flipH="1">
          <a:off x="5890366" y="6653530"/>
          <a:ext cx="95250" cy="196850"/>
          <a:chOff x="408" y="951"/>
          <a:chExt cx="13" cy="24"/>
        </a:xfrm>
      </xdr:grpSpPr>
      <xdr:sp macro="" textlink="">
        <xdr:nvSpPr>
          <xdr:cNvPr id="329" name="Arc 216">
            <a:extLst>
              <a:ext uri="{FF2B5EF4-FFF2-40B4-BE49-F238E27FC236}">
                <a16:creationId xmlns:a16="http://schemas.microsoft.com/office/drawing/2014/main" id="{00000000-0008-0000-0000-00004901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0" name="Arc 217">
            <a:extLst>
              <a:ext uri="{FF2B5EF4-FFF2-40B4-BE49-F238E27FC236}">
                <a16:creationId xmlns:a16="http://schemas.microsoft.com/office/drawing/2014/main" id="{00000000-0008-0000-0000-00004A010000}"/>
              </a:ext>
            </a:extLst>
          </xdr:cNvPr>
          <xdr:cNvSpPr>
            <a:spLocks/>
          </xdr:cNvSpPr>
        </xdr:nvSpPr>
        <xdr:spPr bwMode="auto">
          <a:xfrm>
            <a:off x="408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73660</xdr:colOff>
      <xdr:row>32</xdr:row>
      <xdr:rowOff>80010</xdr:rowOff>
    </xdr:from>
    <xdr:to>
      <xdr:col>27</xdr:col>
      <xdr:colOff>73660</xdr:colOff>
      <xdr:row>35</xdr:row>
      <xdr:rowOff>114300</xdr:rowOff>
    </xdr:to>
    <xdr:sp macro="" textlink="">
      <xdr:nvSpPr>
        <xdr:cNvPr id="331" name="Line 4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>
          <a:spLocks noChangeShapeType="1"/>
        </xdr:cNvSpPr>
      </xdr:nvSpPr>
      <xdr:spPr bwMode="auto">
        <a:xfrm rot="-5400000">
          <a:off x="8084185" y="6433185"/>
          <a:ext cx="605790" cy="0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lg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137160</xdr:colOff>
      <xdr:row>28</xdr:row>
      <xdr:rowOff>68580</xdr:rowOff>
    </xdr:from>
    <xdr:to>
      <xdr:col>35</xdr:col>
      <xdr:colOff>2858</xdr:colOff>
      <xdr:row>28</xdr:row>
      <xdr:rowOff>74294</xdr:rowOff>
    </xdr:to>
    <xdr:sp macro="" textlink="">
      <xdr:nvSpPr>
        <xdr:cNvPr id="332" name="Line 8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>
          <a:spLocks noChangeShapeType="1"/>
        </xdr:cNvSpPr>
      </xdr:nvSpPr>
      <xdr:spPr bwMode="auto">
        <a:xfrm>
          <a:off x="10652760" y="5356860"/>
          <a:ext cx="170498" cy="5714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19050</xdr:colOff>
      <xdr:row>31</xdr:row>
      <xdr:rowOff>169545</xdr:rowOff>
    </xdr:from>
    <xdr:to>
      <xdr:col>35</xdr:col>
      <xdr:colOff>7620</xdr:colOff>
      <xdr:row>31</xdr:row>
      <xdr:rowOff>169545</xdr:rowOff>
    </xdr:to>
    <xdr:sp macro="" textlink="">
      <xdr:nvSpPr>
        <xdr:cNvPr id="333" name="Line 117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>
          <a:spLocks noChangeShapeType="1"/>
        </xdr:cNvSpPr>
      </xdr:nvSpPr>
      <xdr:spPr bwMode="auto">
        <a:xfrm flipV="1">
          <a:off x="10534650" y="6029325"/>
          <a:ext cx="29337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300990</xdr:colOff>
      <xdr:row>32</xdr:row>
      <xdr:rowOff>74295</xdr:rowOff>
    </xdr:from>
    <xdr:to>
      <xdr:col>48</xdr:col>
      <xdr:colOff>302896</xdr:colOff>
      <xdr:row>32</xdr:row>
      <xdr:rowOff>74295</xdr:rowOff>
    </xdr:to>
    <xdr:sp macro="" textlink="">
      <xdr:nvSpPr>
        <xdr:cNvPr id="335" name="Line 29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>
          <a:spLocks noChangeShapeType="1"/>
        </xdr:cNvSpPr>
      </xdr:nvSpPr>
      <xdr:spPr bwMode="auto">
        <a:xfrm>
          <a:off x="14931390" y="6124575"/>
          <a:ext cx="306706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76200</xdr:colOff>
      <xdr:row>33</xdr:row>
      <xdr:rowOff>55245</xdr:rowOff>
    </xdr:from>
    <xdr:to>
      <xdr:col>48</xdr:col>
      <xdr:colOff>302896</xdr:colOff>
      <xdr:row>33</xdr:row>
      <xdr:rowOff>55245</xdr:rowOff>
    </xdr:to>
    <xdr:sp macro="" textlink="">
      <xdr:nvSpPr>
        <xdr:cNvPr id="336" name="Line 294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>
          <a:spLocks noChangeShapeType="1"/>
        </xdr:cNvSpPr>
      </xdr:nvSpPr>
      <xdr:spPr bwMode="auto">
        <a:xfrm>
          <a:off x="15011400" y="6296025"/>
          <a:ext cx="226696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111125</xdr:colOff>
      <xdr:row>46</xdr:row>
      <xdr:rowOff>84455</xdr:rowOff>
    </xdr:from>
    <xdr:to>
      <xdr:col>34</xdr:col>
      <xdr:colOff>301625</xdr:colOff>
      <xdr:row>46</xdr:row>
      <xdr:rowOff>84455</xdr:rowOff>
    </xdr:to>
    <xdr:sp macro="" textlink="">
      <xdr:nvSpPr>
        <xdr:cNvPr id="337" name="Line 9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>
          <a:spLocks noChangeShapeType="1"/>
        </xdr:cNvSpPr>
      </xdr:nvSpPr>
      <xdr:spPr bwMode="auto">
        <a:xfrm>
          <a:off x="10626725" y="8809355"/>
          <a:ext cx="1905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121920</xdr:colOff>
      <xdr:row>47</xdr:row>
      <xdr:rowOff>61595</xdr:rowOff>
    </xdr:from>
    <xdr:to>
      <xdr:col>35</xdr:col>
      <xdr:colOff>635</xdr:colOff>
      <xdr:row>47</xdr:row>
      <xdr:rowOff>61595</xdr:rowOff>
    </xdr:to>
    <xdr:sp macro="" textlink="">
      <xdr:nvSpPr>
        <xdr:cNvPr id="338" name="Line 9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>
          <a:spLocks noChangeShapeType="1"/>
        </xdr:cNvSpPr>
      </xdr:nvSpPr>
      <xdr:spPr bwMode="auto">
        <a:xfrm>
          <a:off x="10332720" y="8976995"/>
          <a:ext cx="48831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171450</xdr:colOff>
      <xdr:row>38</xdr:row>
      <xdr:rowOff>49530</xdr:rowOff>
    </xdr:from>
    <xdr:to>
      <xdr:col>42</xdr:col>
      <xdr:colOff>3810</xdr:colOff>
      <xdr:row>38</xdr:row>
      <xdr:rowOff>49530</xdr:rowOff>
    </xdr:to>
    <xdr:sp macro="" textlink="">
      <xdr:nvSpPr>
        <xdr:cNvPr id="339" name="Line 13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>
          <a:spLocks noChangeShapeType="1"/>
        </xdr:cNvSpPr>
      </xdr:nvSpPr>
      <xdr:spPr bwMode="auto">
        <a:xfrm flipV="1">
          <a:off x="12820650" y="7250430"/>
          <a:ext cx="1752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274320</xdr:colOff>
      <xdr:row>20</xdr:row>
      <xdr:rowOff>87630</xdr:rowOff>
    </xdr:from>
    <xdr:to>
      <xdr:col>5</xdr:col>
      <xdr:colOff>278130</xdr:colOff>
      <xdr:row>25</xdr:row>
      <xdr:rowOff>0</xdr:rowOff>
    </xdr:to>
    <xdr:sp macro="" textlink="">
      <xdr:nvSpPr>
        <xdr:cNvPr id="289" name="Line 17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ShapeType="1"/>
        </xdr:cNvSpPr>
      </xdr:nvSpPr>
      <xdr:spPr bwMode="auto">
        <a:xfrm flipH="1">
          <a:off x="1849120" y="3877310"/>
          <a:ext cx="3810" cy="88773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273050</xdr:colOff>
      <xdr:row>25</xdr:row>
      <xdr:rowOff>3174</xdr:rowOff>
    </xdr:from>
    <xdr:to>
      <xdr:col>12</xdr:col>
      <xdr:colOff>261620</xdr:colOff>
      <xdr:row>25</xdr:row>
      <xdr:rowOff>3174</xdr:rowOff>
    </xdr:to>
    <xdr:sp macro="" textlink="">
      <xdr:nvSpPr>
        <xdr:cNvPr id="309" name="Line 35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>
          <a:spLocks noChangeShapeType="1"/>
        </xdr:cNvSpPr>
      </xdr:nvSpPr>
      <xdr:spPr bwMode="auto">
        <a:xfrm>
          <a:off x="1847850" y="4768214"/>
          <a:ext cx="216281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10160</xdr:colOff>
      <xdr:row>27</xdr:row>
      <xdr:rowOff>10160</xdr:rowOff>
    </xdr:to>
    <xdr:sp macro="" textlink="">
      <xdr:nvSpPr>
        <xdr:cNvPr id="312" name="Line 3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>
          <a:spLocks noChangeShapeType="1"/>
        </xdr:cNvSpPr>
      </xdr:nvSpPr>
      <xdr:spPr bwMode="auto">
        <a:xfrm>
          <a:off x="1574800" y="5161280"/>
          <a:ext cx="314960" cy="1016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27</xdr:row>
      <xdr:rowOff>20320</xdr:rowOff>
    </xdr:from>
    <xdr:to>
      <xdr:col>6</xdr:col>
      <xdr:colOff>10160</xdr:colOff>
      <xdr:row>32</xdr:row>
      <xdr:rowOff>132080</xdr:rowOff>
    </xdr:to>
    <xdr:sp macro="" textlink="">
      <xdr:nvSpPr>
        <xdr:cNvPr id="324" name="Line 3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>
          <a:spLocks noChangeShapeType="1"/>
        </xdr:cNvSpPr>
      </xdr:nvSpPr>
      <xdr:spPr bwMode="auto">
        <a:xfrm>
          <a:off x="1879600" y="5181600"/>
          <a:ext cx="10160" cy="108712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262890</xdr:colOff>
      <xdr:row>25</xdr:row>
      <xdr:rowOff>13334</xdr:rowOff>
    </xdr:from>
    <xdr:to>
      <xdr:col>12</xdr:col>
      <xdr:colOff>262890</xdr:colOff>
      <xdr:row>27</xdr:row>
      <xdr:rowOff>4444</xdr:rowOff>
    </xdr:to>
    <xdr:sp macro="" textlink="">
      <xdr:nvSpPr>
        <xdr:cNvPr id="325" name="Line 17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>
          <a:spLocks noChangeShapeType="1"/>
        </xdr:cNvSpPr>
      </xdr:nvSpPr>
      <xdr:spPr bwMode="auto">
        <a:xfrm>
          <a:off x="4011930" y="4778374"/>
          <a:ext cx="0" cy="3873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287866</xdr:colOff>
      <xdr:row>27</xdr:row>
      <xdr:rowOff>84666</xdr:rowOff>
    </xdr:from>
    <xdr:to>
      <xdr:col>26</xdr:col>
      <xdr:colOff>296333</xdr:colOff>
      <xdr:row>30</xdr:row>
      <xdr:rowOff>25400</xdr:rowOff>
    </xdr:to>
    <xdr:sp macro="" textlink="">
      <xdr:nvSpPr>
        <xdr:cNvPr id="318" name="Line 264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>
          <a:spLocks noChangeShapeType="1"/>
        </xdr:cNvSpPr>
      </xdr:nvSpPr>
      <xdr:spPr bwMode="auto">
        <a:xfrm>
          <a:off x="8508999" y="5249333"/>
          <a:ext cx="8467" cy="524934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92710</xdr:colOff>
      <xdr:row>34</xdr:row>
      <xdr:rowOff>5925</xdr:rowOff>
    </xdr:from>
    <xdr:to>
      <xdr:col>33</xdr:col>
      <xdr:colOff>213425</xdr:colOff>
      <xdr:row>35</xdr:row>
      <xdr:rowOff>24975</xdr:rowOff>
    </xdr:to>
    <xdr:grpSp>
      <xdr:nvGrpSpPr>
        <xdr:cNvPr id="352" name="Group 267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GrpSpPr>
          <a:grpSpLocks/>
        </xdr:cNvGrpSpPr>
      </xdr:nvGrpSpPr>
      <xdr:grpSpPr bwMode="auto">
        <a:xfrm flipH="1">
          <a:off x="9897110" y="6508325"/>
          <a:ext cx="120715" cy="209550"/>
          <a:chOff x="407" y="951"/>
          <a:chExt cx="14" cy="24"/>
        </a:xfrm>
      </xdr:grpSpPr>
      <xdr:sp macro="" textlink="">
        <xdr:nvSpPr>
          <xdr:cNvPr id="353" name="Arc 268">
            <a:extLst>
              <a:ext uri="{FF2B5EF4-FFF2-40B4-BE49-F238E27FC236}">
                <a16:creationId xmlns:a16="http://schemas.microsoft.com/office/drawing/2014/main" id="{00000000-0008-0000-0000-00006101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4" name="Arc 269">
            <a:extLst>
              <a:ext uri="{FF2B5EF4-FFF2-40B4-BE49-F238E27FC236}">
                <a16:creationId xmlns:a16="http://schemas.microsoft.com/office/drawing/2014/main" id="{00000000-0008-0000-0000-000062010000}"/>
              </a:ext>
            </a:extLst>
          </xdr:cNvPr>
          <xdr:cNvSpPr>
            <a:spLocks/>
          </xdr:cNvSpPr>
        </xdr:nvSpPr>
        <xdr:spPr bwMode="auto">
          <a:xfrm>
            <a:off x="407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33</xdr:col>
      <xdr:colOff>186267</xdr:colOff>
      <xdr:row>31</xdr:row>
      <xdr:rowOff>16933</xdr:rowOff>
    </xdr:from>
    <xdr:to>
      <xdr:col>33</xdr:col>
      <xdr:colOff>203200</xdr:colOff>
      <xdr:row>34</xdr:row>
      <xdr:rowOff>25400</xdr:rowOff>
    </xdr:to>
    <xdr:sp macro="" textlink="">
      <xdr:nvSpPr>
        <xdr:cNvPr id="355" name="Line 26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>
          <a:spLocks noChangeShapeType="1"/>
        </xdr:cNvSpPr>
      </xdr:nvSpPr>
      <xdr:spPr bwMode="auto">
        <a:xfrm>
          <a:off x="10668000" y="5960533"/>
          <a:ext cx="16933" cy="592667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67734</xdr:colOff>
      <xdr:row>30</xdr:row>
      <xdr:rowOff>8465</xdr:rowOff>
    </xdr:from>
    <xdr:to>
      <xdr:col>33</xdr:col>
      <xdr:colOff>188449</xdr:colOff>
      <xdr:row>31</xdr:row>
      <xdr:rowOff>27515</xdr:rowOff>
    </xdr:to>
    <xdr:grpSp>
      <xdr:nvGrpSpPr>
        <xdr:cNvPr id="356" name="Group 267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GrpSpPr>
          <a:grpSpLocks/>
        </xdr:cNvGrpSpPr>
      </xdr:nvGrpSpPr>
      <xdr:grpSpPr bwMode="auto">
        <a:xfrm flipH="1">
          <a:off x="9872134" y="5748865"/>
          <a:ext cx="120715" cy="209550"/>
          <a:chOff x="407" y="951"/>
          <a:chExt cx="14" cy="24"/>
        </a:xfrm>
      </xdr:grpSpPr>
      <xdr:sp macro="" textlink="">
        <xdr:nvSpPr>
          <xdr:cNvPr id="357" name="Arc 268">
            <a:extLst>
              <a:ext uri="{FF2B5EF4-FFF2-40B4-BE49-F238E27FC236}">
                <a16:creationId xmlns:a16="http://schemas.microsoft.com/office/drawing/2014/main" id="{00000000-0008-0000-0000-000065010000}"/>
              </a:ext>
            </a:extLst>
          </xdr:cNvPr>
          <xdr:cNvSpPr>
            <a:spLocks/>
          </xdr:cNvSpPr>
        </xdr:nvSpPr>
        <xdr:spPr bwMode="auto">
          <a:xfrm flipV="1">
            <a:off x="408" y="963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58" name="Arc 269">
            <a:extLst>
              <a:ext uri="{FF2B5EF4-FFF2-40B4-BE49-F238E27FC236}">
                <a16:creationId xmlns:a16="http://schemas.microsoft.com/office/drawing/2014/main" id="{00000000-0008-0000-0000-000066010000}"/>
              </a:ext>
            </a:extLst>
          </xdr:cNvPr>
          <xdr:cNvSpPr>
            <a:spLocks/>
          </xdr:cNvSpPr>
        </xdr:nvSpPr>
        <xdr:spPr bwMode="auto">
          <a:xfrm>
            <a:off x="407" y="951"/>
            <a:ext cx="13" cy="12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16933</xdr:colOff>
      <xdr:row>30</xdr:row>
      <xdr:rowOff>-1</xdr:rowOff>
    </xdr:from>
    <xdr:to>
      <xdr:col>33</xdr:col>
      <xdr:colOff>198459</xdr:colOff>
      <xdr:row>30</xdr:row>
      <xdr:rowOff>16932</xdr:rowOff>
    </xdr:to>
    <xdr:sp macro="" textlink="">
      <xdr:nvSpPr>
        <xdr:cNvPr id="360" name="Line 3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>
          <a:spLocks noChangeShapeType="1"/>
        </xdr:cNvSpPr>
      </xdr:nvSpPr>
      <xdr:spPr bwMode="auto">
        <a:xfrm flipV="1">
          <a:off x="8551333" y="5748866"/>
          <a:ext cx="2128859" cy="16933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non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139700</xdr:colOff>
      <xdr:row>29</xdr:row>
      <xdr:rowOff>161924</xdr:rowOff>
    </xdr:from>
    <xdr:to>
      <xdr:col>15</xdr:col>
      <xdr:colOff>139700</xdr:colOff>
      <xdr:row>30</xdr:row>
      <xdr:rowOff>158749</xdr:rowOff>
    </xdr:to>
    <xdr:sp macro="" textlink="">
      <xdr:nvSpPr>
        <xdr:cNvPr id="334" name="Line 446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>
          <a:spLocks noChangeShapeType="1"/>
        </xdr:cNvSpPr>
      </xdr:nvSpPr>
      <xdr:spPr bwMode="auto">
        <a:xfrm rot="5400000" flipH="1">
          <a:off x="4516437" y="5805487"/>
          <a:ext cx="187325" cy="0"/>
        </a:xfrm>
        <a:prstGeom prst="line">
          <a:avLst/>
        </a:prstGeom>
        <a:noFill/>
        <a:ln w="28575">
          <a:solidFill>
            <a:srgbClr val="000000"/>
          </a:solidFill>
          <a:prstDash val="solid"/>
          <a:round/>
          <a:headEnd type="non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146050</xdr:colOff>
      <xdr:row>29</xdr:row>
      <xdr:rowOff>76200</xdr:rowOff>
    </xdr:from>
    <xdr:ext cx="952500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4616450" y="5626100"/>
          <a:ext cx="95250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spAutoFit/>
        </a:bodyPr>
        <a:lstStyle/>
        <a:p>
          <a:pPr algn="ctr"/>
          <a:r>
            <a:rPr lang="en-US" sz="1100"/>
            <a:t>CVEG 3132</a:t>
          </a:r>
        </a:p>
      </xdr:txBody>
    </xdr:sp>
    <xdr:clientData/>
  </xdr:oneCellAnchor>
  <xdr:oneCellAnchor>
    <xdr:from>
      <xdr:col>15</xdr:col>
      <xdr:colOff>152400</xdr:colOff>
      <xdr:row>30</xdr:row>
      <xdr:rowOff>25400</xdr:rowOff>
    </xdr:from>
    <xdr:ext cx="952500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4622800" y="5765800"/>
          <a:ext cx="95250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t">
          <a:spAutoFit/>
        </a:bodyPr>
        <a:lstStyle/>
        <a:p>
          <a:pPr algn="ctr"/>
          <a:r>
            <a:rPr lang="en-US" sz="1100"/>
            <a:t>CVEG 4842</a:t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187325</xdr:rowOff>
    </xdr:to>
    <xdr:sp macro="" textlink="">
      <xdr:nvSpPr>
        <xdr:cNvPr id="326" name="Line 4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>
          <a:spLocks noChangeShapeType="1"/>
        </xdr:cNvSpPr>
      </xdr:nvSpPr>
      <xdr:spPr bwMode="auto">
        <a:xfrm rot="5400000" flipH="1">
          <a:off x="490537" y="5834063"/>
          <a:ext cx="187325" cy="0"/>
        </a:xfrm>
        <a:prstGeom prst="line">
          <a:avLst/>
        </a:prstGeom>
        <a:noFill/>
        <a:ln w="28575">
          <a:solidFill>
            <a:srgbClr val="000000"/>
          </a:solidFill>
          <a:prstDash val="solid"/>
          <a:round/>
          <a:headEnd type="none" w="lg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114300</xdr:colOff>
      <xdr:row>37</xdr:row>
      <xdr:rowOff>193460</xdr:rowOff>
    </xdr:from>
    <xdr:to>
      <xdr:col>35</xdr:col>
      <xdr:colOff>1860</xdr:colOff>
      <xdr:row>37</xdr:row>
      <xdr:rowOff>193460</xdr:rowOff>
    </xdr:to>
    <xdr:sp macro="" textlink="">
      <xdr:nvSpPr>
        <xdr:cNvPr id="327" name="Line 11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>
          <a:spLocks noChangeShapeType="1"/>
        </xdr:cNvSpPr>
      </xdr:nvSpPr>
      <xdr:spPr bwMode="auto">
        <a:xfrm>
          <a:off x="9918700" y="7267360"/>
          <a:ext cx="47176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lg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25400">
          <a:solidFill>
            <a:srgbClr val="000000"/>
          </a:solidFill>
          <a:round/>
          <a:headEnd/>
          <a:tailEnd type="none" w="lg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72"/>
  <sheetViews>
    <sheetView showGridLines="0" tabSelected="1" topLeftCell="A13" zoomScale="75" zoomScaleNormal="75" workbookViewId="0">
      <selection activeCell="AC49" sqref="AC49"/>
    </sheetView>
  </sheetViews>
  <sheetFormatPr defaultColWidth="9.140625" defaultRowHeight="15" x14ac:dyDescent="0.2"/>
  <cols>
    <col min="1" max="3" width="4.42578125" style="1" customWidth="1"/>
    <col min="4" max="4" width="5.140625" style="1" customWidth="1"/>
    <col min="5" max="10" width="4.42578125" style="1" customWidth="1"/>
    <col min="11" max="11" width="5" style="1" customWidth="1"/>
    <col min="12" max="30" width="4.42578125" style="1" customWidth="1"/>
    <col min="31" max="31" width="5" style="1" customWidth="1"/>
    <col min="32" max="32" width="4.85546875" style="1" customWidth="1"/>
    <col min="33" max="41" width="4.42578125" style="1" customWidth="1"/>
    <col min="42" max="42" width="5" style="1" customWidth="1"/>
    <col min="43" max="46" width="4.85546875" style="1" customWidth="1"/>
    <col min="47" max="47" width="4.28515625" style="1" customWidth="1"/>
    <col min="48" max="49" width="4.42578125" style="1" customWidth="1"/>
    <col min="50" max="53" width="5" style="1" customWidth="1"/>
    <col min="54" max="54" width="4.42578125" style="1" customWidth="1"/>
    <col min="55" max="57" width="4.42578125" style="2" customWidth="1"/>
    <col min="58" max="16384" width="9.140625" style="2"/>
  </cols>
  <sheetData>
    <row r="1" spans="1:54" x14ac:dyDescent="0.2">
      <c r="A1" s="148"/>
      <c r="B1" s="148"/>
      <c r="C1" s="148"/>
      <c r="D1" s="148"/>
      <c r="E1" s="148"/>
      <c r="AV1" s="138"/>
      <c r="AW1" s="138"/>
      <c r="AX1" s="138"/>
    </row>
    <row r="2" spans="1:54" x14ac:dyDescent="0.2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R2" s="166" t="s">
        <v>272</v>
      </c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K2" s="138"/>
      <c r="AL2" s="138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K3" s="3"/>
      <c r="AL3" s="3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x14ac:dyDescent="0.2"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x14ac:dyDescent="0.2"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</row>
    <row r="7" spans="1:54" x14ac:dyDescent="0.2">
      <c r="AD7" s="2"/>
      <c r="AE7" s="2"/>
      <c r="AF7" s="2"/>
      <c r="AG7" s="2"/>
    </row>
    <row r="8" spans="1:54" x14ac:dyDescent="0.2">
      <c r="A8" s="159" t="s">
        <v>1</v>
      </c>
      <c r="B8" s="160"/>
      <c r="C8" s="160"/>
      <c r="D8" s="160"/>
      <c r="E8" s="4" t="s">
        <v>2</v>
      </c>
      <c r="X8" s="159" t="s">
        <v>1</v>
      </c>
      <c r="Y8" s="160"/>
      <c r="Z8" s="160"/>
      <c r="AA8" s="160"/>
      <c r="AB8" s="4" t="s">
        <v>2</v>
      </c>
      <c r="AD8" s="2"/>
      <c r="AE8" s="2"/>
      <c r="AF8" s="2"/>
      <c r="AG8" s="2"/>
    </row>
    <row r="9" spans="1:54" x14ac:dyDescent="0.2">
      <c r="A9" s="153" t="s">
        <v>3</v>
      </c>
      <c r="B9" s="154"/>
      <c r="C9" s="154"/>
      <c r="D9" s="155"/>
      <c r="E9" s="5" t="s">
        <v>4</v>
      </c>
      <c r="X9" s="153" t="s">
        <v>3</v>
      </c>
      <c r="Y9" s="154"/>
      <c r="Z9" s="154"/>
      <c r="AA9" s="155"/>
      <c r="AB9" s="5" t="s">
        <v>4</v>
      </c>
      <c r="AD9" s="2"/>
      <c r="AE9" s="2"/>
      <c r="AF9" s="2"/>
      <c r="AG9" s="2"/>
    </row>
    <row r="10" spans="1:54" x14ac:dyDescent="0.2">
      <c r="A10" s="156"/>
      <c r="B10" s="156"/>
      <c r="C10" s="6">
        <v>3</v>
      </c>
      <c r="D10" s="7"/>
      <c r="E10" s="4" t="s">
        <v>5</v>
      </c>
      <c r="X10" s="156"/>
      <c r="Y10" s="156"/>
      <c r="Z10" s="6">
        <v>3</v>
      </c>
      <c r="AA10" s="7"/>
      <c r="AB10" s="4" t="s">
        <v>5</v>
      </c>
      <c r="AD10" s="2"/>
      <c r="AE10" s="2"/>
      <c r="AF10" s="2"/>
      <c r="AG10" s="2"/>
    </row>
    <row r="11" spans="1:54" x14ac:dyDescent="0.2">
      <c r="AD11" s="2"/>
      <c r="AE11" s="2"/>
      <c r="AF11" s="2"/>
      <c r="AG11" s="2"/>
    </row>
    <row r="12" spans="1:54" x14ac:dyDescent="0.2">
      <c r="AD12" s="2"/>
      <c r="AE12" s="2"/>
      <c r="AF12" s="2"/>
      <c r="AG12" s="2"/>
    </row>
    <row r="13" spans="1:54" x14ac:dyDescent="0.2">
      <c r="AD13" s="2"/>
      <c r="AE13" s="2"/>
      <c r="AF13" s="2"/>
      <c r="AG13" s="2"/>
    </row>
    <row r="14" spans="1:54" ht="15.75" x14ac:dyDescent="0.25">
      <c r="AD14" s="2"/>
      <c r="AE14" s="2"/>
      <c r="AF14" s="2"/>
      <c r="AG14" s="2"/>
      <c r="AJ14" s="167">
        <f>Audit!E3</f>
        <v>0</v>
      </c>
      <c r="AK14" s="167"/>
      <c r="AL14" s="167"/>
      <c r="AM14" s="167"/>
      <c r="AN14" s="167">
        <f>Audit!B3</f>
        <v>0</v>
      </c>
      <c r="AO14" s="167"/>
      <c r="AP14" s="167"/>
      <c r="AQ14" s="167"/>
      <c r="AR14" s="167"/>
      <c r="AS14" s="167"/>
      <c r="AT14" s="168">
        <f>Audit!K3</f>
        <v>0</v>
      </c>
      <c r="AU14" s="168"/>
      <c r="AV14" s="168"/>
      <c r="AW14" s="168"/>
    </row>
    <row r="15" spans="1:54" ht="15.75" x14ac:dyDescent="0.25">
      <c r="AD15" s="2"/>
      <c r="AE15" s="2"/>
      <c r="AF15" s="2"/>
      <c r="AG15" s="2"/>
      <c r="AJ15" s="169" t="s">
        <v>259</v>
      </c>
      <c r="AK15" s="169"/>
      <c r="AL15" s="169"/>
      <c r="AM15" s="169"/>
      <c r="AN15" s="8">
        <f>Audit!N62</f>
        <v>0</v>
      </c>
    </row>
    <row r="17" spans="1:55" s="9" customFormat="1" ht="16.5" thickBot="1" x14ac:dyDescent="0.3">
      <c r="A17" s="157" t="s">
        <v>333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8"/>
      <c r="O17" s="157" t="s">
        <v>334</v>
      </c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8"/>
      <c r="AC17" s="157" t="s">
        <v>335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8"/>
      <c r="AQ17" s="157" t="s">
        <v>336</v>
      </c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</row>
    <row r="18" spans="1:55" s="9" customFormat="1" ht="15.7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8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8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ht="15.75" x14ac:dyDescent="0.25">
      <c r="A19" s="146" t="s">
        <v>6</v>
      </c>
      <c r="B19" s="146"/>
      <c r="C19" s="146"/>
      <c r="D19" s="146"/>
      <c r="E19" s="146"/>
      <c r="F19" s="10"/>
      <c r="G19" s="10"/>
      <c r="H19" s="146" t="s">
        <v>7</v>
      </c>
      <c r="I19" s="146"/>
      <c r="J19" s="146"/>
      <c r="K19" s="146"/>
      <c r="L19" s="146"/>
      <c r="M19" s="10"/>
      <c r="N19" s="8"/>
      <c r="O19" s="146" t="s">
        <v>6</v>
      </c>
      <c r="P19" s="146"/>
      <c r="Q19" s="146"/>
      <c r="R19" s="146"/>
      <c r="S19" s="146"/>
      <c r="T19" s="10"/>
      <c r="U19" s="10"/>
      <c r="V19" s="146" t="s">
        <v>7</v>
      </c>
      <c r="W19" s="146"/>
      <c r="X19" s="146"/>
      <c r="Y19" s="146"/>
      <c r="Z19" s="146"/>
      <c r="AA19" s="10"/>
      <c r="AB19" s="8"/>
      <c r="AC19" s="146" t="s">
        <v>6</v>
      </c>
      <c r="AD19" s="146"/>
      <c r="AE19" s="146"/>
      <c r="AF19" s="146"/>
      <c r="AG19" s="146"/>
      <c r="AH19" s="10"/>
      <c r="AI19" s="10"/>
      <c r="AJ19" s="146" t="s">
        <v>7</v>
      </c>
      <c r="AK19" s="146"/>
      <c r="AL19" s="146"/>
      <c r="AM19" s="146"/>
      <c r="AN19" s="146"/>
      <c r="AO19" s="10"/>
      <c r="AP19" s="8"/>
      <c r="AQ19" s="146" t="s">
        <v>6</v>
      </c>
      <c r="AR19" s="146"/>
      <c r="AS19" s="146"/>
      <c r="AT19" s="146"/>
      <c r="AU19" s="146"/>
      <c r="AV19" s="10"/>
      <c r="AW19" s="10"/>
      <c r="AX19" s="146" t="s">
        <v>7</v>
      </c>
      <c r="AY19" s="146"/>
      <c r="AZ19" s="146"/>
      <c r="BA19" s="146"/>
      <c r="BB19" s="146"/>
      <c r="BC19" s="10"/>
    </row>
    <row r="20" spans="1:55" s="9" customFormat="1" ht="7.5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8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ht="15.7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8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">
      <c r="A22" s="132" t="s">
        <v>8</v>
      </c>
      <c r="B22" s="133"/>
      <c r="C22" s="133"/>
      <c r="D22" s="134"/>
      <c r="E22" s="11" t="s">
        <v>2</v>
      </c>
      <c r="H22" s="132" t="s">
        <v>9</v>
      </c>
      <c r="I22" s="133"/>
      <c r="J22" s="133"/>
      <c r="K22" s="134"/>
      <c r="L22" s="11" t="s">
        <v>2</v>
      </c>
      <c r="O22" s="132" t="s">
        <v>191</v>
      </c>
      <c r="P22" s="133"/>
      <c r="Q22" s="133"/>
      <c r="R22" s="134"/>
      <c r="S22" s="11" t="s">
        <v>2</v>
      </c>
      <c r="V22" s="132" t="s">
        <v>93</v>
      </c>
      <c r="W22" s="133"/>
      <c r="X22" s="133"/>
      <c r="Y22" s="134"/>
      <c r="Z22" s="11" t="s">
        <v>2</v>
      </c>
      <c r="AC22" s="132" t="s">
        <v>10</v>
      </c>
      <c r="AD22" s="133"/>
      <c r="AE22" s="133"/>
      <c r="AF22" s="134"/>
      <c r="AG22" s="11" t="s">
        <v>2</v>
      </c>
      <c r="AQ22" s="132" t="s">
        <v>346</v>
      </c>
      <c r="AR22" s="133"/>
      <c r="AS22" s="133"/>
      <c r="AT22" s="134"/>
      <c r="AU22" s="11"/>
      <c r="AX22" s="132" t="s">
        <v>40</v>
      </c>
      <c r="AY22" s="133"/>
      <c r="AZ22" s="133"/>
      <c r="BA22" s="134"/>
      <c r="BB22" s="11" t="s">
        <v>2</v>
      </c>
    </row>
    <row r="23" spans="1:55" x14ac:dyDescent="0.2">
      <c r="A23" s="127" t="s">
        <v>11</v>
      </c>
      <c r="B23" s="128"/>
      <c r="C23" s="128"/>
      <c r="D23" s="129"/>
      <c r="E23" s="11" t="s">
        <v>4</v>
      </c>
      <c r="H23" s="127" t="s">
        <v>12</v>
      </c>
      <c r="I23" s="128"/>
      <c r="J23" s="128"/>
      <c r="K23" s="129"/>
      <c r="L23" s="11" t="s">
        <v>4</v>
      </c>
      <c r="O23" s="127" t="s">
        <v>192</v>
      </c>
      <c r="P23" s="128"/>
      <c r="Q23" s="128"/>
      <c r="R23" s="129"/>
      <c r="S23" s="11" t="s">
        <v>4</v>
      </c>
      <c r="V23" s="127" t="s">
        <v>394</v>
      </c>
      <c r="W23" s="128"/>
      <c r="X23" s="128"/>
      <c r="Y23" s="129"/>
      <c r="Z23" s="11" t="s">
        <v>4</v>
      </c>
      <c r="AC23" s="127" t="s">
        <v>396</v>
      </c>
      <c r="AD23" s="128"/>
      <c r="AE23" s="128"/>
      <c r="AF23" s="129"/>
      <c r="AG23" s="11" t="s">
        <v>4</v>
      </c>
      <c r="AQ23" s="127">
        <v>1</v>
      </c>
      <c r="AR23" s="128"/>
      <c r="AS23" s="128"/>
      <c r="AT23" s="129"/>
      <c r="AU23" s="11"/>
      <c r="AX23" s="127" t="s">
        <v>350</v>
      </c>
      <c r="AY23" s="128"/>
      <c r="AZ23" s="128"/>
      <c r="BA23" s="129"/>
      <c r="BB23" s="11" t="s">
        <v>4</v>
      </c>
    </row>
    <row r="24" spans="1:55" s="3" customFormat="1" x14ac:dyDescent="0.2">
      <c r="A24" s="125"/>
      <c r="B24" s="126"/>
      <c r="C24" s="12">
        <v>4</v>
      </c>
      <c r="D24" s="78"/>
      <c r="E24" s="11" t="s">
        <v>5</v>
      </c>
      <c r="H24" s="125"/>
      <c r="I24" s="126"/>
      <c r="J24" s="12">
        <v>4</v>
      </c>
      <c r="K24" s="78"/>
      <c r="L24" s="11" t="s">
        <v>5</v>
      </c>
      <c r="O24" s="125"/>
      <c r="P24" s="126"/>
      <c r="Q24" s="12">
        <v>4</v>
      </c>
      <c r="R24" s="78"/>
      <c r="S24" s="11" t="s">
        <v>5</v>
      </c>
      <c r="V24" s="125"/>
      <c r="W24" s="126"/>
      <c r="X24" s="12">
        <v>4</v>
      </c>
      <c r="Y24" s="78"/>
      <c r="Z24" s="11" t="s">
        <v>5</v>
      </c>
      <c r="AC24" s="125"/>
      <c r="AD24" s="126"/>
      <c r="AE24" s="12">
        <v>3</v>
      </c>
      <c r="AF24" s="13"/>
      <c r="AG24" s="11"/>
      <c r="AQ24" s="125"/>
      <c r="AR24" s="126"/>
      <c r="AS24" s="12">
        <v>3</v>
      </c>
      <c r="AT24" s="13"/>
      <c r="AU24" s="11"/>
      <c r="AX24" s="125"/>
      <c r="AY24" s="126"/>
      <c r="AZ24" s="12">
        <v>3</v>
      </c>
      <c r="BA24" s="13"/>
      <c r="BB24" s="11"/>
    </row>
    <row r="25" spans="1:55" s="16" customFormat="1" x14ac:dyDescent="0.2">
      <c r="A25" s="14"/>
      <c r="B25" s="14"/>
      <c r="C25" s="15">
        <f>IF(OR(D24="A", D24="B", D24="C", D24="D", D24="F"),C24,)</f>
        <v>0</v>
      </c>
      <c r="D25" s="15">
        <f>(IF(D24="A",4,(IF(D24="B",3,IF(D24="C",2,IF(D24="D",1,IF(D24="F",0, )))))))*C25</f>
        <v>0</v>
      </c>
      <c r="E25" s="14"/>
      <c r="F25" s="14"/>
      <c r="G25" s="14"/>
      <c r="H25" s="14"/>
      <c r="I25" s="14"/>
      <c r="J25" s="15">
        <f>IF(OR(K24="A", K24="B", K24="C", K24="D", K24="F"),J24,)</f>
        <v>0</v>
      </c>
      <c r="K25" s="15">
        <f>(IF(K24="A",4,(IF(K24="B",3,IF(K24="C",2,IF(K24="D",1,IF(K24="F",0, )))))))*J25</f>
        <v>0</v>
      </c>
      <c r="L25" s="14"/>
      <c r="M25" s="14"/>
      <c r="N25" s="14"/>
      <c r="O25" s="14"/>
      <c r="P25" s="14"/>
      <c r="Q25" s="15">
        <f>IF(OR(R24="A", R24="B", R24="C", R24="D", R24="F"),Q24,)</f>
        <v>0</v>
      </c>
      <c r="R25" s="15">
        <f>(IF(R24="A",4,(IF(R24="B",3,IF(R24="C",2,IF(R24="D",1,IF(R24="F",0, )))))))*Q25</f>
        <v>0</v>
      </c>
      <c r="S25" s="14"/>
      <c r="T25" s="14"/>
      <c r="U25" s="14"/>
      <c r="V25" s="14"/>
      <c r="W25" s="14"/>
      <c r="X25" s="15">
        <f>IF(OR(Y24="A", Y24="B", Y24="C", Y24="D", Y24="F"),X24,)</f>
        <v>0</v>
      </c>
      <c r="Y25" s="15">
        <f>(IF(Y24="A",4,(IF(Y24="B",3,IF(Y24="C",2,IF(Y24="D",1,IF(Y24="F",0, )))))))*X25</f>
        <v>0</v>
      </c>
      <c r="Z25" s="14"/>
      <c r="AA25" s="14"/>
      <c r="AB25" s="14"/>
      <c r="AC25" s="14"/>
      <c r="AD25" s="14"/>
      <c r="AE25" s="15">
        <f>IF(OR(AF24="A", AF24="B", AF24="C", AF24="D", AF24="F"),AE24,)</f>
        <v>0</v>
      </c>
      <c r="AF25" s="15">
        <f>(IF(AF24="A",4,(IF(AF24="B",3,IF(AF24="C",2,IF(AF24="D",1,IF(AF24="F",0, )))))))*AE25</f>
        <v>0</v>
      </c>
      <c r="AG25" s="14"/>
      <c r="AH25" s="14"/>
      <c r="AI25" s="14"/>
      <c r="AO25" s="14"/>
      <c r="AP25" s="14"/>
      <c r="AQ25" s="14"/>
      <c r="AR25" s="14"/>
      <c r="AS25" s="15">
        <f>IF(OR(AT24="A", AT24="B", AT24="C", AT24="D", AT24="F"),AS24,)</f>
        <v>0</v>
      </c>
      <c r="AT25" s="15">
        <f>(IF(AT24="A",4,(IF(AT24="B",3,IF(AT24="C",2,IF(AT24="D",1,IF(AT24="F",0, )))))))*AS25</f>
        <v>0</v>
      </c>
      <c r="AU25" s="14"/>
      <c r="AV25" s="14"/>
      <c r="AW25" s="14"/>
      <c r="AX25" s="14"/>
      <c r="AY25" s="14"/>
      <c r="AZ25" s="15">
        <f>IF(OR(BA24="A", BA24="B", BA24="C", BA24="D", BA24="F"),AZ24,)</f>
        <v>0</v>
      </c>
      <c r="BA25" s="15">
        <f>(IF(BA24="A",4,(IF(BA24="B",3,IF(BA24="C",2,IF(BA24="D",1,IF(BA24="F",0, )))))))*AZ25</f>
        <v>0</v>
      </c>
      <c r="BB25" s="14"/>
    </row>
    <row r="26" spans="1:55" x14ac:dyDescent="0.2">
      <c r="AS26" s="17"/>
      <c r="AT26" s="18"/>
    </row>
    <row r="27" spans="1:55" ht="15.75" x14ac:dyDescent="0.25">
      <c r="A27" s="132" t="s">
        <v>258</v>
      </c>
      <c r="B27" s="133"/>
      <c r="C27" s="133"/>
      <c r="D27" s="134"/>
      <c r="E27" s="11" t="s">
        <v>2</v>
      </c>
      <c r="H27" s="132" t="s">
        <v>14</v>
      </c>
      <c r="I27" s="133"/>
      <c r="J27" s="133"/>
      <c r="K27" s="134"/>
      <c r="L27" s="11" t="s">
        <v>2</v>
      </c>
      <c r="O27" s="132" t="s">
        <v>215</v>
      </c>
      <c r="P27" s="133"/>
      <c r="Q27" s="133"/>
      <c r="R27" s="134"/>
      <c r="S27" s="11" t="s">
        <v>2</v>
      </c>
      <c r="V27" s="132" t="s">
        <v>216</v>
      </c>
      <c r="W27" s="133"/>
      <c r="X27" s="133"/>
      <c r="Y27" s="134"/>
      <c r="Z27" s="11" t="s">
        <v>2</v>
      </c>
      <c r="AC27" s="132" t="s">
        <v>195</v>
      </c>
      <c r="AD27" s="133"/>
      <c r="AE27" s="133"/>
      <c r="AF27" s="134"/>
      <c r="AG27" s="11" t="s">
        <v>2</v>
      </c>
      <c r="AJ27" s="132" t="s">
        <v>16</v>
      </c>
      <c r="AK27" s="133"/>
      <c r="AL27" s="133"/>
      <c r="AM27" s="134"/>
      <c r="AN27" s="11" t="s">
        <v>2</v>
      </c>
      <c r="AQ27" s="132" t="s">
        <v>347</v>
      </c>
      <c r="AR27" s="133"/>
      <c r="AS27" s="133"/>
      <c r="AT27" s="134"/>
      <c r="AU27" s="25" t="s">
        <v>2</v>
      </c>
      <c r="AX27" s="132" t="s">
        <v>351</v>
      </c>
      <c r="AY27" s="133"/>
      <c r="AZ27" s="133"/>
      <c r="BA27" s="134"/>
      <c r="BB27" s="69"/>
    </row>
    <row r="28" spans="1:55" ht="15.75" x14ac:dyDescent="0.25">
      <c r="A28" s="127" t="s">
        <v>354</v>
      </c>
      <c r="B28" s="128"/>
      <c r="C28" s="128"/>
      <c r="D28" s="129"/>
      <c r="E28" s="11"/>
      <c r="H28" s="127" t="s">
        <v>17</v>
      </c>
      <c r="I28" s="128"/>
      <c r="J28" s="128"/>
      <c r="K28" s="129"/>
      <c r="L28" s="11" t="s">
        <v>4</v>
      </c>
      <c r="O28" s="161" t="s">
        <v>357</v>
      </c>
      <c r="P28" s="162"/>
      <c r="Q28" s="162"/>
      <c r="R28" s="163"/>
      <c r="S28" s="19" t="s">
        <v>4</v>
      </c>
      <c r="V28" s="127" t="s">
        <v>358</v>
      </c>
      <c r="W28" s="128"/>
      <c r="X28" s="128"/>
      <c r="Y28" s="129"/>
      <c r="Z28" s="11" t="s">
        <v>4</v>
      </c>
      <c r="AC28" s="127" t="s">
        <v>360</v>
      </c>
      <c r="AD28" s="128"/>
      <c r="AE28" s="128"/>
      <c r="AF28" s="129"/>
      <c r="AG28" s="11" t="s">
        <v>4</v>
      </c>
      <c r="AJ28" s="127" t="s">
        <v>344</v>
      </c>
      <c r="AK28" s="128"/>
      <c r="AL28" s="128"/>
      <c r="AM28" s="129"/>
      <c r="AN28" s="11" t="s">
        <v>4</v>
      </c>
      <c r="AQ28" s="20">
        <v>1</v>
      </c>
      <c r="AR28" s="21"/>
      <c r="AS28" s="21"/>
      <c r="AT28" s="22"/>
      <c r="AU28" s="69"/>
      <c r="AX28" s="20">
        <v>1</v>
      </c>
      <c r="AY28" s="21"/>
      <c r="AZ28" s="21"/>
      <c r="BA28" s="22"/>
      <c r="BB28" s="25" t="s">
        <v>4</v>
      </c>
    </row>
    <row r="29" spans="1:55" x14ac:dyDescent="0.2">
      <c r="A29" s="125"/>
      <c r="B29" s="126"/>
      <c r="C29" s="12">
        <v>1</v>
      </c>
      <c r="D29" s="78"/>
      <c r="E29" s="11"/>
      <c r="H29" s="125"/>
      <c r="I29" s="126"/>
      <c r="J29" s="12">
        <v>4</v>
      </c>
      <c r="K29" s="13"/>
      <c r="L29" s="11" t="s">
        <v>5</v>
      </c>
      <c r="O29" s="139"/>
      <c r="P29" s="140"/>
      <c r="Q29" s="23">
        <v>3</v>
      </c>
      <c r="R29" s="13"/>
      <c r="S29" s="19"/>
      <c r="V29" s="125"/>
      <c r="W29" s="126"/>
      <c r="X29" s="12">
        <v>3</v>
      </c>
      <c r="Y29" s="13"/>
      <c r="Z29" s="11"/>
      <c r="AC29" s="125"/>
      <c r="AD29" s="126"/>
      <c r="AE29" s="12">
        <v>3</v>
      </c>
      <c r="AF29" s="13"/>
      <c r="AG29" s="11"/>
      <c r="AJ29" s="125"/>
      <c r="AK29" s="126"/>
      <c r="AL29" s="12">
        <v>3</v>
      </c>
      <c r="AM29" s="13"/>
      <c r="AN29" s="11"/>
      <c r="AQ29" s="125"/>
      <c r="AR29" s="126"/>
      <c r="AS29" s="12">
        <v>2</v>
      </c>
      <c r="AT29" s="13"/>
      <c r="AU29" s="69"/>
      <c r="AX29" s="125"/>
      <c r="AY29" s="126"/>
      <c r="AZ29" s="12">
        <v>2</v>
      </c>
      <c r="BA29" s="13"/>
      <c r="BB29" s="69"/>
    </row>
    <row r="30" spans="1:55" s="16" customFormat="1" x14ac:dyDescent="0.2">
      <c r="A30" s="14"/>
      <c r="B30" s="14"/>
      <c r="C30" s="15">
        <f>IF(OR(D29="A",D29="B", D29="C", D29="D", D29="F"),C29,)</f>
        <v>0</v>
      </c>
      <c r="D30" s="15">
        <f>(IF(D29="A",4,(IF(D29="B",3,IF(D29="C",2,IF(D29="D",1,IF(D29="F",0, )))))))*C30</f>
        <v>0</v>
      </c>
      <c r="E30" s="14"/>
      <c r="F30" s="14"/>
      <c r="G30" s="14"/>
      <c r="H30" s="14"/>
      <c r="I30" s="14"/>
      <c r="J30" s="15">
        <f>IF(OR(K29="A",K29= "B",K29= "C",K29= "D",K29= "F"),J29,)</f>
        <v>0</v>
      </c>
      <c r="K30" s="15">
        <f>(IF(K29="A",4,(IF(K29="B",3,IF(K29="C",2,IF(K29="D",1,IF(K29="F",0, )))))))*J30</f>
        <v>0</v>
      </c>
      <c r="L30" s="14"/>
      <c r="M30" s="14"/>
      <c r="N30" s="14"/>
      <c r="O30" s="14"/>
      <c r="P30" s="14"/>
      <c r="Q30" s="15">
        <f>IF(OR(R29="A", R29="B", R29="C", R29="D", R29="F"),Q29,)</f>
        <v>0</v>
      </c>
      <c r="R30" s="15">
        <f>(IF(R29="A",4,(IF(R29="B",3,IF(R29="C",2,IF(R29="D",1,IF(R29="F",0, )))))))*Q30</f>
        <v>0</v>
      </c>
      <c r="S30" s="14"/>
      <c r="T30" s="14"/>
      <c r="U30" s="14"/>
      <c r="V30" s="14"/>
      <c r="W30" s="14"/>
      <c r="X30" s="15">
        <f>IF(OR(Y29="A", Y29="B", Y29="C", Y29="D", Y29="F"),X29,)</f>
        <v>0</v>
      </c>
      <c r="Y30" s="15">
        <f>(IF(Y29="A",4,(IF(Y29="B",3,IF(Y29="C",2,IF(Y29="D",1,IF(Y29="F",0, )))))))*X30</f>
        <v>0</v>
      </c>
      <c r="Z30" s="14"/>
      <c r="AA30" s="14"/>
      <c r="AB30" s="14"/>
      <c r="AC30" s="14"/>
      <c r="AD30" s="14"/>
      <c r="AE30" s="15">
        <f>IF(OR(AF29="A", AF29="B", AF29="C", AF29="D", AF29="F"),AE29,)</f>
        <v>0</v>
      </c>
      <c r="AF30" s="15">
        <f>(IF(AF29="A",4,(IF(AF29="B",3,IF(AF29="C",2,IF(AF29="D",1,IF(AF29="F",0, )))))))*AE30</f>
        <v>0</v>
      </c>
      <c r="AG30" s="14"/>
      <c r="AH30" s="14"/>
      <c r="AI30" s="14"/>
      <c r="AJ30" s="14"/>
      <c r="AK30" s="24"/>
      <c r="AL30" s="15">
        <f>IF(OR(AM29="A", AM29="B", AM29="C", AM29="D", AM29="F"),AL29,)</f>
        <v>0</v>
      </c>
      <c r="AM30" s="15">
        <f>(IF(AM29="A",4,(IF(AM29="B",3,IF(AM29="C",2,IF(AM29="D",1,IF(AM29="F",0, )))))))*AL30</f>
        <v>0</v>
      </c>
      <c r="AN30" s="14"/>
      <c r="AO30" s="14"/>
      <c r="AP30" s="14"/>
      <c r="AQ30" s="14"/>
      <c r="AR30" s="14"/>
      <c r="AS30" s="15">
        <f>IF(OR(AT29="A", AT29="B", AT29="C", AT29="D", AT29="F"),AS29,)</f>
        <v>0</v>
      </c>
      <c r="AT30" s="15">
        <f>(IF(AT29="A",4,(IF(AT29="B",3,IF(AT29="C",2,IF(AT29="D",1,IF(AT29="F",0, )))))))*AS30</f>
        <v>0</v>
      </c>
      <c r="AU30" s="14"/>
      <c r="AV30" s="14"/>
      <c r="AW30" s="14"/>
      <c r="AX30" s="14"/>
      <c r="AY30" s="14"/>
      <c r="AZ30" s="15">
        <f>IF(OR(BA29="A", BA29="B", BA29="C", BA29="D", BA29="F"),AZ29,)</f>
        <v>0</v>
      </c>
      <c r="BA30" s="15">
        <f>(IF(BA29="A",4,(IF(BA29="B",3,IF(BA29="C",2,IF(BA29="D",1,IF(BA29="F",0, )))))))*AZ30</f>
        <v>0</v>
      </c>
      <c r="BB30" s="14"/>
    </row>
    <row r="31" spans="1:55" x14ac:dyDescent="0.2">
      <c r="D31" s="80" t="s">
        <v>214</v>
      </c>
    </row>
    <row r="32" spans="1:55" x14ac:dyDescent="0.2">
      <c r="A32" s="132" t="s">
        <v>193</v>
      </c>
      <c r="B32" s="133"/>
      <c r="C32" s="133"/>
      <c r="D32" s="134"/>
      <c r="E32" s="11" t="s">
        <v>2</v>
      </c>
      <c r="H32" s="132" t="s">
        <v>19</v>
      </c>
      <c r="I32" s="133"/>
      <c r="J32" s="133"/>
      <c r="K32" s="134"/>
      <c r="L32" s="11"/>
      <c r="O32" s="132" t="s">
        <v>15</v>
      </c>
      <c r="P32" s="133"/>
      <c r="Q32" s="133"/>
      <c r="R32" s="134"/>
      <c r="S32" s="11" t="s">
        <v>2</v>
      </c>
      <c r="V32" s="132" t="s">
        <v>20</v>
      </c>
      <c r="W32" s="133"/>
      <c r="X32" s="133"/>
      <c r="Y32" s="134"/>
      <c r="Z32" s="11" t="s">
        <v>2</v>
      </c>
      <c r="AC32" s="132" t="s">
        <v>21</v>
      </c>
      <c r="AD32" s="133"/>
      <c r="AE32" s="133"/>
      <c r="AF32" s="134"/>
      <c r="AG32" s="11" t="s">
        <v>2</v>
      </c>
      <c r="AJ32" s="132" t="s">
        <v>22</v>
      </c>
      <c r="AK32" s="133"/>
      <c r="AL32" s="133"/>
      <c r="AM32" s="134"/>
      <c r="AN32" s="69"/>
      <c r="AQ32" s="132" t="s">
        <v>26</v>
      </c>
      <c r="AR32" s="133"/>
      <c r="AS32" s="133"/>
      <c r="AT32" s="134"/>
      <c r="AU32" s="11" t="s">
        <v>2</v>
      </c>
      <c r="AX32" s="132" t="s">
        <v>352</v>
      </c>
      <c r="AY32" s="133"/>
      <c r="AZ32" s="133"/>
      <c r="BA32" s="134"/>
      <c r="BB32" s="11" t="s">
        <v>2</v>
      </c>
    </row>
    <row r="33" spans="1:54" x14ac:dyDescent="0.2">
      <c r="A33" s="127" t="s">
        <v>341</v>
      </c>
      <c r="B33" s="128"/>
      <c r="C33" s="128"/>
      <c r="D33" s="129"/>
      <c r="E33" s="11" t="s">
        <v>4</v>
      </c>
      <c r="H33" s="127" t="s">
        <v>355</v>
      </c>
      <c r="I33" s="128"/>
      <c r="J33" s="128"/>
      <c r="K33" s="129"/>
      <c r="L33" s="11" t="s">
        <v>4</v>
      </c>
      <c r="O33" s="127" t="s">
        <v>18</v>
      </c>
      <c r="P33" s="128"/>
      <c r="Q33" s="128"/>
      <c r="R33" s="129"/>
      <c r="S33" s="11" t="s">
        <v>4</v>
      </c>
      <c r="V33" s="127" t="s">
        <v>359</v>
      </c>
      <c r="W33" s="128"/>
      <c r="X33" s="128"/>
      <c r="Y33" s="129"/>
      <c r="Z33" s="11" t="s">
        <v>4</v>
      </c>
      <c r="AC33" s="127" t="s">
        <v>283</v>
      </c>
      <c r="AD33" s="128"/>
      <c r="AE33" s="128"/>
      <c r="AF33" s="129"/>
      <c r="AG33" s="11" t="s">
        <v>4</v>
      </c>
      <c r="AJ33" s="127" t="s">
        <v>345</v>
      </c>
      <c r="AK33" s="128"/>
      <c r="AL33" s="128"/>
      <c r="AM33" s="129"/>
      <c r="AN33" s="11" t="s">
        <v>4</v>
      </c>
      <c r="AO33" s="26" t="s">
        <v>23</v>
      </c>
      <c r="AP33" s="165"/>
      <c r="AQ33" s="127" t="s">
        <v>348</v>
      </c>
      <c r="AR33" s="128"/>
      <c r="AS33" s="128"/>
      <c r="AT33" s="129"/>
      <c r="AU33" s="11" t="s">
        <v>4</v>
      </c>
      <c r="AX33" s="20">
        <v>1</v>
      </c>
      <c r="AY33" s="21"/>
      <c r="AZ33" s="21"/>
      <c r="BA33" s="22"/>
      <c r="BB33" s="11" t="s">
        <v>4</v>
      </c>
    </row>
    <row r="34" spans="1:54" s="3" customFormat="1" x14ac:dyDescent="0.2">
      <c r="A34" s="125"/>
      <c r="B34" s="126"/>
      <c r="C34" s="12">
        <v>3</v>
      </c>
      <c r="D34" s="13"/>
      <c r="E34" s="11" t="s">
        <v>5</v>
      </c>
      <c r="H34" s="125"/>
      <c r="I34" s="126"/>
      <c r="J34" s="12">
        <v>1</v>
      </c>
      <c r="K34" s="78"/>
      <c r="L34" s="11"/>
      <c r="O34" s="125"/>
      <c r="P34" s="126"/>
      <c r="Q34" s="12">
        <v>2</v>
      </c>
      <c r="R34" s="13"/>
      <c r="S34" s="11"/>
      <c r="V34" s="125"/>
      <c r="W34" s="126"/>
      <c r="X34" s="12">
        <v>3</v>
      </c>
      <c r="Y34" s="13"/>
      <c r="Z34" s="11"/>
      <c r="AC34" s="125"/>
      <c r="AD34" s="126"/>
      <c r="AE34" s="12">
        <v>3</v>
      </c>
      <c r="AF34" s="13"/>
      <c r="AG34" s="11"/>
      <c r="AJ34" s="125"/>
      <c r="AK34" s="126"/>
      <c r="AL34" s="12">
        <v>3</v>
      </c>
      <c r="AM34" s="13"/>
      <c r="AN34" s="11"/>
      <c r="AO34" s="26"/>
      <c r="AP34" s="165"/>
      <c r="AQ34" s="125"/>
      <c r="AR34" s="126"/>
      <c r="AS34" s="12">
        <v>3</v>
      </c>
      <c r="AT34" s="13"/>
      <c r="AU34" s="11"/>
      <c r="AX34" s="125"/>
      <c r="AY34" s="126"/>
      <c r="AZ34" s="12">
        <v>3</v>
      </c>
      <c r="BA34" s="13"/>
      <c r="BB34" s="11"/>
    </row>
    <row r="35" spans="1:54" s="16" customFormat="1" x14ac:dyDescent="0.2">
      <c r="A35" s="14"/>
      <c r="B35" s="14"/>
      <c r="C35" s="15">
        <f>IF(OR(D34="A", D34="B", D34="C", D34="D", D34="F"),C34,)</f>
        <v>0</v>
      </c>
      <c r="D35" s="15">
        <f>(IF(D34="A",4,(IF(D34="B",3,IF(D34="C",2,IF(D34="D",1,IF(D34="F",0, )))))))*C35</f>
        <v>0</v>
      </c>
      <c r="E35" s="14"/>
      <c r="F35" s="14"/>
      <c r="G35" s="1"/>
      <c r="H35" s="14"/>
      <c r="I35" s="14"/>
      <c r="J35" s="15">
        <f>IF(OR(K34="A", K34="B", K34="C", K34="D", K34="F"),J34,)</f>
        <v>0</v>
      </c>
      <c r="K35" s="15">
        <f>(IF(K34="A",4,(IF(K34="B",3,IF(K34="C",2,IF(K34="D",1,IF(K34="F",0, )))))))*J35</f>
        <v>0</v>
      </c>
      <c r="L35" s="14"/>
      <c r="M35" s="14"/>
      <c r="N35" s="14"/>
      <c r="O35" s="14"/>
      <c r="P35" s="14"/>
      <c r="Q35" s="15">
        <f>IF(OR(R34="A", R34="B", R34="C", R34="D", R34="F"),Q34,)</f>
        <v>0</v>
      </c>
      <c r="R35" s="15">
        <f>(IF(R34="A",4,(IF(R34="B",3,IF(R34="C",2,IF(R34="D",1,IF(R34="F",0, )))))))*Q35</f>
        <v>0</v>
      </c>
      <c r="S35" s="14"/>
      <c r="T35" s="14"/>
      <c r="U35" s="14"/>
      <c r="V35" s="14"/>
      <c r="W35" s="14"/>
      <c r="X35" s="15">
        <f>IF(OR(Y34="A", Y34="B", Y34="C", Y34="D", Y34="F"),X34,)</f>
        <v>0</v>
      </c>
      <c r="Y35" s="15">
        <f>(IF(Y34="A",4,(IF(Y34="B",3,IF(Y34="C",2,IF(Y34="D",1,IF(Y34="F",0, )))))))*X35</f>
        <v>0</v>
      </c>
      <c r="Z35" s="14"/>
      <c r="AA35" s="14"/>
      <c r="AB35" s="14"/>
      <c r="AC35" s="14"/>
      <c r="AD35" s="14"/>
      <c r="AE35" s="15">
        <f>IF(OR(AF34="A", AF34="B", AF34="C", AF34="D", AF34="F"),AE34,)</f>
        <v>0</v>
      </c>
      <c r="AF35" s="15">
        <f>(IF(AF34="A",4,(IF(AF34="B",3,IF(AF34="C",2,IF(AF34="D",1,IF(AF34="F",0, )))))))*AE35</f>
        <v>0</v>
      </c>
      <c r="AG35" s="14"/>
      <c r="AH35" s="14"/>
      <c r="AI35" s="14"/>
      <c r="AJ35" s="27"/>
      <c r="AK35" s="27"/>
      <c r="AL35" s="15">
        <f>IF(OR(AM34="A", AM34="B", AM34="C", AM34="D", AM34="F"),AL34,)</f>
        <v>0</v>
      </c>
      <c r="AM35" s="15">
        <f>(IF(AM34="A",4,(IF(AM34="B",3,IF(AM34="C",2,IF(AM34="D",1,IF(AM34="F",0, )))))))*AL35</f>
        <v>0</v>
      </c>
      <c r="AN35" s="14"/>
      <c r="AO35" s="14"/>
      <c r="AP35" s="14"/>
      <c r="AQ35" s="14"/>
      <c r="AR35" s="14"/>
      <c r="AS35" s="15">
        <f>IF(OR(AT34="A", AT34="B", AT34="C", AT34="D", AT34="F"),AS34,)</f>
        <v>0</v>
      </c>
      <c r="AT35" s="15">
        <f>(IF(AT34="A",4,(IF(AT34="B",3,IF(AT34="C",2,IF(AT34="D",1,IF(AT34="F",0, )))))))*AS35</f>
        <v>0</v>
      </c>
      <c r="AU35" s="14"/>
      <c r="AV35" s="14"/>
      <c r="AW35" s="14"/>
      <c r="AX35" s="14"/>
      <c r="AY35" s="14"/>
      <c r="AZ35" s="15">
        <f>IF(OR(BA34="A", BA34="B", BA34="C", BA34="D", BA34="F"),AZ34,)</f>
        <v>0</v>
      </c>
      <c r="BA35" s="15">
        <f>(IF(BA34="A",4,(IF(BA34="B",3,IF(BA34="C",2,IF(BA34="D",1,IF(BA34="F",0, )))))))*AZ35</f>
        <v>0</v>
      </c>
      <c r="BB35" s="14"/>
    </row>
    <row r="36" spans="1:54" x14ac:dyDescent="0.2">
      <c r="J36" s="147"/>
      <c r="K36" s="147"/>
      <c r="L36" s="147"/>
      <c r="AI36" s="2"/>
      <c r="AJ36" s="68"/>
      <c r="AK36" s="68"/>
    </row>
    <row r="37" spans="1:54" x14ac:dyDescent="0.2">
      <c r="A37" s="132" t="s">
        <v>213</v>
      </c>
      <c r="B37" s="133"/>
      <c r="C37" s="133"/>
      <c r="D37" s="134"/>
      <c r="E37" s="11" t="s">
        <v>2</v>
      </c>
      <c r="O37" s="132" t="s">
        <v>24</v>
      </c>
      <c r="P37" s="133"/>
      <c r="Q37" s="133"/>
      <c r="R37" s="134"/>
      <c r="S37" s="11" t="s">
        <v>2</v>
      </c>
      <c r="V37" s="132" t="s">
        <v>260</v>
      </c>
      <c r="W37" s="133"/>
      <c r="X37" s="133"/>
      <c r="Y37" s="134"/>
      <c r="Z37" s="11" t="s">
        <v>2</v>
      </c>
      <c r="AC37" s="135" t="s">
        <v>205</v>
      </c>
      <c r="AD37" s="136"/>
      <c r="AE37" s="136"/>
      <c r="AF37" s="137"/>
      <c r="AG37" s="11"/>
      <c r="AJ37" s="132" t="s">
        <v>214</v>
      </c>
      <c r="AK37" s="133"/>
      <c r="AL37" s="133"/>
      <c r="AM37" s="134"/>
      <c r="AN37" s="11" t="s">
        <v>2</v>
      </c>
      <c r="AQ37" s="132" t="s">
        <v>31</v>
      </c>
      <c r="AR37" s="133"/>
      <c r="AS37" s="133"/>
      <c r="AT37" s="134"/>
      <c r="AU37" s="11" t="s">
        <v>2</v>
      </c>
      <c r="AX37" s="132" t="s">
        <v>27</v>
      </c>
      <c r="AY37" s="133"/>
      <c r="AZ37" s="133"/>
      <c r="BA37" s="134"/>
      <c r="BB37" s="69"/>
    </row>
    <row r="38" spans="1:54" ht="15.75" customHeight="1" x14ac:dyDescent="0.2">
      <c r="A38" s="127" t="s">
        <v>250</v>
      </c>
      <c r="B38" s="128"/>
      <c r="C38" s="128"/>
      <c r="D38" s="129"/>
      <c r="E38" s="11" t="s">
        <v>4</v>
      </c>
      <c r="F38" s="144"/>
      <c r="G38" s="145"/>
      <c r="O38" s="127" t="s">
        <v>342</v>
      </c>
      <c r="P38" s="128"/>
      <c r="Q38" s="128"/>
      <c r="R38" s="129"/>
      <c r="S38" s="69"/>
      <c r="V38" s="127" t="s">
        <v>395</v>
      </c>
      <c r="W38" s="128"/>
      <c r="X38" s="128"/>
      <c r="Y38" s="129"/>
      <c r="Z38" s="11" t="s">
        <v>4</v>
      </c>
      <c r="AC38" s="127">
        <v>1</v>
      </c>
      <c r="AD38" s="128"/>
      <c r="AE38" s="128"/>
      <c r="AF38" s="129"/>
      <c r="AG38" s="11"/>
      <c r="AJ38" s="161" t="s">
        <v>281</v>
      </c>
      <c r="AK38" s="162"/>
      <c r="AL38" s="162"/>
      <c r="AM38" s="163"/>
      <c r="AN38" s="19" t="s">
        <v>4</v>
      </c>
      <c r="AQ38" s="127" t="s">
        <v>393</v>
      </c>
      <c r="AR38" s="128"/>
      <c r="AS38" s="128"/>
      <c r="AT38" s="129"/>
      <c r="AU38" s="11" t="s">
        <v>4</v>
      </c>
      <c r="AX38" s="127" t="s">
        <v>86</v>
      </c>
      <c r="AY38" s="128"/>
      <c r="AZ38" s="128"/>
      <c r="BA38" s="129"/>
      <c r="BB38" s="11" t="s">
        <v>4</v>
      </c>
    </row>
    <row r="39" spans="1:54" s="3" customFormat="1" x14ac:dyDescent="0.2">
      <c r="A39" s="125"/>
      <c r="B39" s="126"/>
      <c r="C39" s="12">
        <v>1</v>
      </c>
      <c r="D39" s="13"/>
      <c r="E39" s="11" t="s">
        <v>5</v>
      </c>
      <c r="O39" s="125"/>
      <c r="P39" s="126"/>
      <c r="Q39" s="12">
        <v>3</v>
      </c>
      <c r="R39" s="13"/>
      <c r="S39" s="11"/>
      <c r="V39" s="125"/>
      <c r="W39" s="126"/>
      <c r="X39" s="12">
        <v>3</v>
      </c>
      <c r="Y39" s="78"/>
      <c r="Z39" s="11"/>
      <c r="AC39" s="125"/>
      <c r="AD39" s="126"/>
      <c r="AE39" s="12">
        <v>3</v>
      </c>
      <c r="AF39" s="78"/>
      <c r="AG39" s="11"/>
      <c r="AJ39" s="139"/>
      <c r="AK39" s="140"/>
      <c r="AL39" s="23">
        <v>2</v>
      </c>
      <c r="AM39" s="13"/>
      <c r="AN39" s="19"/>
      <c r="AQ39" s="125"/>
      <c r="AR39" s="126"/>
      <c r="AS39" s="12">
        <v>3</v>
      </c>
      <c r="AT39" s="13"/>
      <c r="AU39" s="11"/>
      <c r="AX39" s="125"/>
      <c r="AY39" s="126"/>
      <c r="AZ39" s="12">
        <v>3</v>
      </c>
      <c r="BA39" s="13"/>
      <c r="BB39" s="11"/>
    </row>
    <row r="40" spans="1:54" s="16" customFormat="1" x14ac:dyDescent="0.2">
      <c r="A40" s="14"/>
      <c r="B40" s="14"/>
      <c r="C40" s="15">
        <f>IF(OR(D39="A", D39="B", D39="C", D39="D", D39="F"),C39,)</f>
        <v>0</v>
      </c>
      <c r="D40" s="15">
        <f>(IF(D39="A",4,(IF(D39="B",3,IF(D39="C",2,IF(D39="D",1,IF(D39="F",0, )))))))*C40</f>
        <v>0</v>
      </c>
      <c r="E40" s="14"/>
      <c r="F40" s="14"/>
      <c r="G40" s="14"/>
      <c r="M40" s="14"/>
      <c r="N40" s="14"/>
      <c r="O40" s="14"/>
      <c r="P40" s="14"/>
      <c r="Q40" s="15">
        <f>IF(OR(R39="A", R39="B", R39="C", R39="D", R39="F"),Q39,)</f>
        <v>0</v>
      </c>
      <c r="R40" s="15">
        <f>(IF(R39="A",4,(IF(R39="B",3,IF(R39="C",2,IF(R39="D",1,IF(R39="F",0, )))))))*Q40</f>
        <v>0</v>
      </c>
      <c r="S40" s="14"/>
      <c r="T40" s="14"/>
      <c r="U40" s="14"/>
      <c r="V40" s="14"/>
      <c r="W40" s="14"/>
      <c r="X40" s="15">
        <f>IF(OR(Y39="A", Y39="B", Y39="C", Y39="D", Y39="F"),X39,)</f>
        <v>0</v>
      </c>
      <c r="Y40" s="15">
        <f>(IF(Y39="A",4,(IF(Y39="B",3,IF(Y39="C",2,IF(Y39="D",1,IF(Y39="F",0, )))))))*X40</f>
        <v>0</v>
      </c>
      <c r="Z40" s="14"/>
      <c r="AA40" s="14"/>
      <c r="AB40" s="14"/>
      <c r="AC40" s="14"/>
      <c r="AD40" s="14"/>
      <c r="AE40" s="15">
        <f>IF(OR(AF39="A", AF39="B", AF39="C", AF39="D", AF39="F"),AE39,)</f>
        <v>0</v>
      </c>
      <c r="AF40" s="15">
        <f>(IF(AF39="A",4,(IF(AF39="B",3,IF(AF39="C",2,IF(AF39="D",1,IF(AF39="F",0, )))))))*AE40</f>
        <v>0</v>
      </c>
      <c r="AG40" s="14"/>
      <c r="AH40" s="14"/>
      <c r="AI40" s="14"/>
      <c r="AJ40" s="14"/>
      <c r="AK40" s="14"/>
      <c r="AL40" s="15">
        <f>IF(OR(AM39="A", AM39="B", AM39="C", AM39="D", AM39="F"),AL39,)</f>
        <v>0</v>
      </c>
      <c r="AM40" s="15">
        <f>(IF(AM39="A",4,(IF(AM39="B",3,IF(AM39="C",2,IF(AM39="D",1,IF(AM39="F",0, )))))))*AL40</f>
        <v>0</v>
      </c>
      <c r="AN40" s="14"/>
      <c r="AO40" s="14"/>
      <c r="AP40" s="14"/>
      <c r="AQ40" s="14"/>
      <c r="AR40" s="14"/>
      <c r="AS40" s="15">
        <f>IF(OR(AT39="A", AT39="B", AT39="C", AT39="D", AT39="F"),AS39,)</f>
        <v>0</v>
      </c>
      <c r="AT40" s="15">
        <f>(IF(AT39="A",4,(IF(AT39="B",3,IF(AT39="C",2,IF(AT39="D",1,IF(AT39="F",0, )))))))*AS40</f>
        <v>0</v>
      </c>
      <c r="AU40" s="14"/>
      <c r="AV40" s="14"/>
      <c r="AW40" s="14"/>
      <c r="AX40" s="14"/>
      <c r="AY40" s="14"/>
      <c r="AZ40" s="15">
        <f>IF(OR(BA39="A", BA39="B", BA39="C", BA39="D", BA39="F"),AZ39,)</f>
        <v>0</v>
      </c>
      <c r="BA40" s="15">
        <f>(IF(BA39="A",4,(IF(BA39="B",3,IF(BA39="C",2,IF(BA39="D",1,IF(BA39="F",0, )))))))*AZ40</f>
        <v>0</v>
      </c>
      <c r="BB40" s="14"/>
    </row>
    <row r="42" spans="1:54" x14ac:dyDescent="0.2">
      <c r="A42" s="132" t="s">
        <v>190</v>
      </c>
      <c r="B42" s="133"/>
      <c r="C42" s="133"/>
      <c r="D42" s="134"/>
      <c r="E42" s="11" t="s">
        <v>2</v>
      </c>
      <c r="O42" s="132" t="s">
        <v>29</v>
      </c>
      <c r="P42" s="133"/>
      <c r="Q42" s="133"/>
      <c r="R42" s="134"/>
      <c r="S42" s="11" t="s">
        <v>2</v>
      </c>
      <c r="V42" s="132" t="s">
        <v>251</v>
      </c>
      <c r="W42" s="133"/>
      <c r="X42" s="133"/>
      <c r="Y42" s="134"/>
      <c r="Z42" s="11" t="s">
        <v>2</v>
      </c>
      <c r="AC42" s="132" t="s">
        <v>34</v>
      </c>
      <c r="AD42" s="133"/>
      <c r="AE42" s="133"/>
      <c r="AF42" s="134"/>
      <c r="AG42" s="11" t="s">
        <v>2</v>
      </c>
      <c r="AJ42" s="132" t="s">
        <v>30</v>
      </c>
      <c r="AK42" s="133"/>
      <c r="AL42" s="133"/>
      <c r="AM42" s="134"/>
      <c r="AN42" s="11" t="s">
        <v>2</v>
      </c>
      <c r="AQ42" s="132" t="s">
        <v>218</v>
      </c>
      <c r="AR42" s="133"/>
      <c r="AS42" s="133"/>
      <c r="AT42" s="134"/>
      <c r="AU42" s="11"/>
      <c r="AX42" s="131"/>
      <c r="AY42" s="131"/>
      <c r="AZ42" s="131"/>
      <c r="BA42" s="131"/>
    </row>
    <row r="43" spans="1:54" x14ac:dyDescent="0.2">
      <c r="A43" s="127" t="s">
        <v>356</v>
      </c>
      <c r="B43" s="128"/>
      <c r="C43" s="128"/>
      <c r="D43" s="129"/>
      <c r="E43" s="11" t="s">
        <v>4</v>
      </c>
      <c r="O43" s="127" t="s">
        <v>32</v>
      </c>
      <c r="P43" s="128"/>
      <c r="Q43" s="128"/>
      <c r="R43" s="129"/>
      <c r="S43" s="69"/>
      <c r="V43" s="127">
        <v>1</v>
      </c>
      <c r="W43" s="128"/>
      <c r="X43" s="128"/>
      <c r="Y43" s="129"/>
      <c r="Z43" s="11" t="s">
        <v>4</v>
      </c>
      <c r="AC43" s="127" t="s">
        <v>392</v>
      </c>
      <c r="AD43" s="128"/>
      <c r="AE43" s="128"/>
      <c r="AF43" s="129"/>
      <c r="AG43" s="69"/>
      <c r="AJ43" s="127" t="s">
        <v>397</v>
      </c>
      <c r="AK43" s="128"/>
      <c r="AL43" s="128"/>
      <c r="AM43" s="129"/>
      <c r="AN43" s="11" t="s">
        <v>4</v>
      </c>
      <c r="AQ43" s="127" t="s">
        <v>349</v>
      </c>
      <c r="AR43" s="128"/>
      <c r="AS43" s="128"/>
      <c r="AT43" s="129"/>
      <c r="AU43" s="11"/>
      <c r="AV43" s="164"/>
      <c r="AW43" s="164"/>
      <c r="AX43" s="131"/>
      <c r="AY43" s="131"/>
      <c r="AZ43" s="131"/>
      <c r="BA43" s="131"/>
    </row>
    <row r="44" spans="1:54" x14ac:dyDescent="0.2">
      <c r="A44" s="125"/>
      <c r="B44" s="126"/>
      <c r="C44" s="12">
        <v>3</v>
      </c>
      <c r="D44" s="78"/>
      <c r="E44" s="11" t="s">
        <v>5</v>
      </c>
      <c r="O44" s="125"/>
      <c r="P44" s="126"/>
      <c r="Q44" s="12">
        <v>1</v>
      </c>
      <c r="R44" s="13"/>
      <c r="S44" s="11"/>
      <c r="V44" s="125"/>
      <c r="W44" s="126"/>
      <c r="X44" s="12">
        <v>3</v>
      </c>
      <c r="Y44" s="78"/>
      <c r="Z44" s="11" t="s">
        <v>5</v>
      </c>
      <c r="AC44" s="125"/>
      <c r="AD44" s="126"/>
      <c r="AE44" s="12">
        <v>3</v>
      </c>
      <c r="AF44" s="13"/>
      <c r="AG44" s="11"/>
      <c r="AJ44" s="125"/>
      <c r="AK44" s="126"/>
      <c r="AL44" s="12">
        <v>1</v>
      </c>
      <c r="AM44" s="13"/>
      <c r="AN44" s="11"/>
      <c r="AQ44" s="125"/>
      <c r="AR44" s="126"/>
      <c r="AS44" s="12">
        <v>0</v>
      </c>
      <c r="AT44" s="13"/>
      <c r="AU44" s="11"/>
      <c r="AW44" s="28"/>
      <c r="AX44" s="138"/>
      <c r="AY44" s="138"/>
      <c r="AZ44" s="3"/>
      <c r="BA44" s="3"/>
    </row>
    <row r="45" spans="1:54" s="16" customFormat="1" x14ac:dyDescent="0.2">
      <c r="A45" s="14"/>
      <c r="B45" s="14"/>
      <c r="C45" s="15">
        <f>IF(OR(D44="A",D44= "B",D44= "C",D44= "D",D44= "F"),C44,)</f>
        <v>0</v>
      </c>
      <c r="D45" s="15">
        <f>(IF(D44="A",4,(IF(D44="B",3,IF(D44="C",2,IF(D44="D",1,IF(D44="F",0, )))))))*C45</f>
        <v>0</v>
      </c>
      <c r="E45" s="14"/>
      <c r="F45" s="14"/>
      <c r="G45" s="14"/>
      <c r="H45" s="14"/>
      <c r="I45" s="14"/>
      <c r="J45" s="15">
        <f>IF(OR(Y49="A", Y49="B", Y49="C", Y49="D", Y49="F"),X49,)</f>
        <v>0</v>
      </c>
      <c r="K45" s="15">
        <f>(IF(Y49="A",4,(IF(Y49="B",3,IF(Y49="C",2,IF(Y49="D",1,IF(Y49="F",0, )))))))*J45</f>
        <v>0</v>
      </c>
      <c r="L45" s="14"/>
      <c r="M45" s="14"/>
      <c r="N45" s="14"/>
      <c r="O45" s="14"/>
      <c r="P45" s="14"/>
      <c r="Q45" s="15">
        <f>IF(OR(R44="A", R44="B", R44="C", R44="D", R44="F"),Q44,)</f>
        <v>0</v>
      </c>
      <c r="R45" s="15">
        <f>(IF(R44="A",4,(IF(R44="B",3,IF(R44="C",2,IF(R44="D",1,IF(R44="F",0, )))))))*Q45</f>
        <v>0</v>
      </c>
      <c r="S45" s="14"/>
      <c r="T45" s="14"/>
      <c r="U45" s="14"/>
      <c r="V45" s="14"/>
      <c r="W45" s="14"/>
      <c r="X45" s="15">
        <f>IF(OR(Y44="A", Y44="B", Y44="C", Y44="D", Y44="F"),X44,)</f>
        <v>0</v>
      </c>
      <c r="Y45" s="15">
        <f>(IF(Y44="A",4,(IF(Y44="B",3,IF(Y44="C",2,IF(Y44="D",1,IF(Y44="F",0, )))))))*X45</f>
        <v>0</v>
      </c>
      <c r="Z45" s="14"/>
      <c r="AA45" s="14"/>
      <c r="AB45" s="14"/>
      <c r="AC45" s="14"/>
      <c r="AD45" s="14"/>
      <c r="AE45" s="15">
        <f>IF(OR(AF44="A", AF44="B", AF44="C", AF44="D", AF44="F"),AE44,)</f>
        <v>0</v>
      </c>
      <c r="AF45" s="15">
        <f>(IF(AF44="A",4,(IF(AF44="B",3,IF(AF44="C",2,IF(AF44="D",1,IF(AF44="F",0, )))))))*AE45</f>
        <v>0</v>
      </c>
      <c r="AG45" s="14"/>
      <c r="AH45" s="14"/>
      <c r="AI45" s="14"/>
      <c r="AJ45" s="14"/>
      <c r="AK45" s="14"/>
      <c r="AL45" s="15">
        <f>IF(OR(AM44="A", AM44="B", AM44="C", AM44="D", AM44="F"),AL44,)</f>
        <v>0</v>
      </c>
      <c r="AM45" s="15">
        <f>(IF(AM44="A",4,(IF(AM44="B",3,IF(AM44="C",2,IF(AM44="D",1,IF(AM44="F",0, )))))))*AL45</f>
        <v>0</v>
      </c>
      <c r="AN45" s="14"/>
      <c r="AO45" s="14"/>
      <c r="AP45" s="14"/>
      <c r="AV45" s="14"/>
      <c r="AW45" s="1"/>
      <c r="AX45" s="14"/>
      <c r="AY45" s="14"/>
      <c r="AZ45" s="15">
        <f>IF(OR(BA44="A", BA44="B", BA44="C", BA44="D", BA44="F"),AZ44,)</f>
        <v>0</v>
      </c>
      <c r="BA45" s="15">
        <f>(IF(BA44="A",4,(IF(BA44="B",3,IF(BA44="C",2,IF(BA44="D",1,IF(BA44="F",0, )))))))*AZ45</f>
        <v>0</v>
      </c>
      <c r="BB45" s="14"/>
    </row>
    <row r="47" spans="1:54" x14ac:dyDescent="0.2">
      <c r="A47" s="132" t="s">
        <v>33</v>
      </c>
      <c r="B47" s="133"/>
      <c r="C47" s="133"/>
      <c r="D47" s="134"/>
      <c r="E47" s="11" t="s">
        <v>2</v>
      </c>
      <c r="H47" s="132" t="s">
        <v>211</v>
      </c>
      <c r="I47" s="133"/>
      <c r="J47" s="133"/>
      <c r="K47" s="134"/>
      <c r="L47" s="11" t="s">
        <v>2</v>
      </c>
      <c r="O47" s="131"/>
      <c r="P47" s="131"/>
      <c r="Q47" s="131"/>
      <c r="R47" s="131"/>
      <c r="V47" s="135" t="s">
        <v>252</v>
      </c>
      <c r="W47" s="136"/>
      <c r="X47" s="136"/>
      <c r="Y47" s="137"/>
      <c r="Z47" s="11" t="s">
        <v>2</v>
      </c>
      <c r="AJ47" s="132" t="s">
        <v>25</v>
      </c>
      <c r="AK47" s="133"/>
      <c r="AL47" s="133"/>
      <c r="AM47" s="134"/>
      <c r="AN47" s="11" t="s">
        <v>2</v>
      </c>
      <c r="AQ47" s="135" t="s">
        <v>56</v>
      </c>
      <c r="AR47" s="136"/>
      <c r="AS47" s="136"/>
      <c r="AT47" s="137"/>
      <c r="AU47" s="11"/>
      <c r="AX47" s="132" t="s">
        <v>92</v>
      </c>
      <c r="AY47" s="133"/>
      <c r="AZ47" s="133"/>
      <c r="BA47" s="134"/>
      <c r="BB47" s="11"/>
    </row>
    <row r="48" spans="1:54" x14ac:dyDescent="0.2">
      <c r="A48" s="127" t="s">
        <v>35</v>
      </c>
      <c r="B48" s="128"/>
      <c r="C48" s="128"/>
      <c r="D48" s="129"/>
      <c r="E48" s="11" t="s">
        <v>4</v>
      </c>
      <c r="H48" s="127" t="s">
        <v>36</v>
      </c>
      <c r="I48" s="128"/>
      <c r="J48" s="128"/>
      <c r="K48" s="129"/>
      <c r="L48" s="11" t="s">
        <v>4</v>
      </c>
      <c r="O48" s="131"/>
      <c r="P48" s="131"/>
      <c r="Q48" s="131"/>
      <c r="R48" s="131"/>
      <c r="V48" s="141" t="str">
        <f>IF(V43=2, "BIOL 1541L", IF(V43=3, "BIOL 2011L", IF(V43=4, "CHEM 1121L", IF(V43=5, "part of class", IF(V43=6,"part of class", "Lab Elective")))))</f>
        <v>Lab Elective</v>
      </c>
      <c r="W48" s="142"/>
      <c r="X48" s="142"/>
      <c r="Y48" s="143"/>
      <c r="Z48" s="11" t="s">
        <v>4</v>
      </c>
      <c r="AJ48" s="127" t="s">
        <v>28</v>
      </c>
      <c r="AK48" s="128"/>
      <c r="AL48" s="128"/>
      <c r="AM48" s="129"/>
      <c r="AN48" s="11" t="s">
        <v>4</v>
      </c>
      <c r="AQ48" s="127">
        <v>1</v>
      </c>
      <c r="AR48" s="128"/>
      <c r="AS48" s="128"/>
      <c r="AT48" s="129"/>
      <c r="AU48" s="11"/>
      <c r="AX48" s="127" t="s">
        <v>353</v>
      </c>
      <c r="AY48" s="128"/>
      <c r="AZ48" s="128"/>
      <c r="BA48" s="129"/>
      <c r="BB48" s="11"/>
    </row>
    <row r="49" spans="1:54" x14ac:dyDescent="0.2">
      <c r="A49" s="125"/>
      <c r="B49" s="126"/>
      <c r="C49" s="12">
        <v>3</v>
      </c>
      <c r="D49" s="78"/>
      <c r="E49" s="11" t="s">
        <v>5</v>
      </c>
      <c r="H49" s="125"/>
      <c r="I49" s="126"/>
      <c r="J49" s="12">
        <v>3</v>
      </c>
      <c r="K49" s="78"/>
      <c r="L49" s="11" t="s">
        <v>5</v>
      </c>
      <c r="O49" s="138"/>
      <c r="P49" s="138"/>
      <c r="Q49" s="3"/>
      <c r="V49" s="125"/>
      <c r="W49" s="126"/>
      <c r="X49" s="12">
        <v>1</v>
      </c>
      <c r="Y49" s="78"/>
      <c r="Z49" s="11" t="s">
        <v>5</v>
      </c>
      <c r="AJ49" s="125"/>
      <c r="AK49" s="126"/>
      <c r="AL49" s="12">
        <v>3</v>
      </c>
      <c r="AM49" s="13"/>
      <c r="AN49" s="11"/>
      <c r="AQ49" s="125"/>
      <c r="AR49" s="126"/>
      <c r="AS49" s="12">
        <v>3</v>
      </c>
      <c r="AT49" s="78"/>
      <c r="AU49" s="11"/>
      <c r="AX49" s="125"/>
      <c r="AY49" s="126"/>
      <c r="AZ49" s="12">
        <v>3</v>
      </c>
      <c r="BA49" s="13"/>
      <c r="BB49" s="11"/>
    </row>
    <row r="50" spans="1:54" s="16" customFormat="1" x14ac:dyDescent="0.2">
      <c r="A50" s="14"/>
      <c r="B50" s="14"/>
      <c r="C50" s="15">
        <f>IF(OR(D49="A", D49="B", D49="C", D49="D", D49="F"),C49,)</f>
        <v>0</v>
      </c>
      <c r="D50" s="15">
        <f>(IF(D49="A",4,(IF(D49="B",3,IF(D49="C",2,IF(D49="D",1,IF(D49="F",0, )))))))*C50</f>
        <v>0</v>
      </c>
      <c r="E50" s="14"/>
      <c r="F50" s="14"/>
      <c r="G50" s="14"/>
      <c r="H50" s="14"/>
      <c r="I50" s="14"/>
      <c r="J50" s="15">
        <f>IF(OR(K49="A", K49="B", K49="C", K49="D", K49="F"),J49,)</f>
        <v>0</v>
      </c>
      <c r="K50" s="15">
        <f>(IF(K49="A",4,(IF(K49="B",3,IF(K49="C",2,IF(K49="D",1,IF(K49="F",0, )))))))*J50</f>
        <v>0</v>
      </c>
      <c r="L50" s="14"/>
      <c r="M50" s="14"/>
      <c r="N50" s="14"/>
      <c r="O50" s="14"/>
      <c r="P50" s="14"/>
      <c r="Q50" s="15">
        <f>IF(OR(R49="A", R49="B", R49="C", R49="D", R49="F"),Q49,)</f>
        <v>0</v>
      </c>
      <c r="R50" s="15">
        <f>(IF(R49="A",4,(IF(R49="B",3,IF(R49="C",2,IF(R49="D",1,IF(R49="F",0, )))))))*Q50</f>
        <v>0</v>
      </c>
      <c r="S50" s="14"/>
      <c r="T50" s="14"/>
      <c r="U50" s="14"/>
      <c r="V50" s="14"/>
      <c r="W50" s="14"/>
      <c r="X50" s="15">
        <f>IF(OR(Y49="A", Y49="B", Y49="C", Y49="D", Y49="F"),X49,)</f>
        <v>0</v>
      </c>
      <c r="Y50" s="15">
        <f>(IF(Y49="A",4,(IF(Y49="B",3,IF(Y49="C",2,IF(Y49="D",1,IF(Y49="F",0, )))))))*X50</f>
        <v>0</v>
      </c>
      <c r="Z50" s="14"/>
      <c r="AA50" s="14"/>
      <c r="AB50" s="14"/>
      <c r="AH50" s="14"/>
      <c r="AI50" s="14"/>
      <c r="AJ50" s="14"/>
      <c r="AK50" s="14"/>
      <c r="AL50" s="15">
        <f>IF(OR(AM49="A", AM49="B", AM49="C", AM49="D", AM49="F"),AL49,)</f>
        <v>0</v>
      </c>
      <c r="AM50" s="15">
        <f>(IF(AM49="A",4,(IF(AM49="B",3,IF(AM49="C",2,IF(AM49="D",1,IF(AM49="F",0, )))))))*AL50</f>
        <v>0</v>
      </c>
      <c r="AN50" s="14"/>
      <c r="AO50" s="14"/>
      <c r="AP50" s="14"/>
      <c r="AQ50" s="14"/>
      <c r="AR50" s="14"/>
      <c r="AS50" s="15">
        <f>IF(OR(AT49="A", AT49="B", AT49="C", AT49="D", AT49="F"),AS49,)</f>
        <v>0</v>
      </c>
      <c r="AT50" s="15">
        <f>(IF(AT49="A",4,(IF(AT49="B",3,IF(AT49="C",2,IF(AT49="D",1,IF(AT49="F",0, )))))))*AS50</f>
        <v>0</v>
      </c>
      <c r="AU50" s="14"/>
      <c r="AV50" s="14"/>
      <c r="AW50" s="14"/>
      <c r="AX50" s="14"/>
      <c r="AY50" s="14"/>
      <c r="AZ50" s="15">
        <f>IF(OR(BA49="A", BA49="B", BA49="C", BA49="D", BA49="F"),AZ49,)</f>
        <v>0</v>
      </c>
      <c r="BA50" s="15">
        <f>(IF(BA49="A",4,(IF(BA49="B",3,IF(BA49="C",2,IF(BA49="D",1,IF(BA49="F",0, )))))))*AZ50</f>
        <v>0</v>
      </c>
      <c r="BB50" s="14"/>
    </row>
    <row r="52" spans="1:54" ht="15.75" x14ac:dyDescent="0.25">
      <c r="A52"/>
      <c r="B52"/>
      <c r="C52"/>
      <c r="D52"/>
      <c r="E52"/>
      <c r="H52" s="132" t="s">
        <v>65</v>
      </c>
      <c r="I52" s="133"/>
      <c r="J52" s="133"/>
      <c r="K52" s="134"/>
      <c r="L52" s="11"/>
      <c r="O52" s="135" t="s">
        <v>49</v>
      </c>
      <c r="P52" s="136"/>
      <c r="Q52" s="136"/>
      <c r="R52" s="137"/>
      <c r="S52" s="11"/>
      <c r="V52" s="131"/>
      <c r="W52" s="131"/>
      <c r="X52" s="131"/>
      <c r="Y52" s="131"/>
      <c r="AC52" s="132" t="s">
        <v>194</v>
      </c>
      <c r="AD52" s="133"/>
      <c r="AE52" s="133"/>
      <c r="AF52" s="134"/>
      <c r="AG52" s="11" t="s">
        <v>2</v>
      </c>
      <c r="AJ52" s="135" t="s">
        <v>66</v>
      </c>
      <c r="AK52" s="136"/>
      <c r="AL52" s="136"/>
      <c r="AM52" s="137"/>
      <c r="AN52" s="11"/>
      <c r="AQ52" s="135" t="s">
        <v>84</v>
      </c>
      <c r="AR52" s="136"/>
      <c r="AS52" s="136"/>
      <c r="AT52" s="137"/>
      <c r="AU52" s="11"/>
      <c r="AX52" s="132" t="s">
        <v>85</v>
      </c>
      <c r="AY52" s="133"/>
      <c r="AZ52" s="133"/>
      <c r="BA52" s="134"/>
      <c r="BB52" s="11"/>
    </row>
    <row r="53" spans="1:54" ht="15.75" x14ac:dyDescent="0.25">
      <c r="A53"/>
      <c r="B53"/>
      <c r="C53"/>
      <c r="D53"/>
      <c r="E53"/>
      <c r="H53" s="127">
        <v>1</v>
      </c>
      <c r="I53" s="128"/>
      <c r="J53" s="128"/>
      <c r="K53" s="129"/>
      <c r="L53" s="11"/>
      <c r="O53" s="127">
        <v>1</v>
      </c>
      <c r="P53" s="128"/>
      <c r="Q53" s="128"/>
      <c r="R53" s="129"/>
      <c r="S53" s="11"/>
      <c r="V53" s="131"/>
      <c r="W53" s="131"/>
      <c r="X53" s="131"/>
      <c r="Y53" s="131"/>
      <c r="AC53" s="127" t="s">
        <v>343</v>
      </c>
      <c r="AD53" s="128"/>
      <c r="AE53" s="128"/>
      <c r="AF53" s="129"/>
      <c r="AG53" s="11" t="s">
        <v>4</v>
      </c>
      <c r="AJ53" s="127">
        <v>1</v>
      </c>
      <c r="AK53" s="128"/>
      <c r="AL53" s="128"/>
      <c r="AM53" s="129"/>
      <c r="AN53" s="11"/>
      <c r="AQ53" s="127">
        <v>1</v>
      </c>
      <c r="AR53" s="128"/>
      <c r="AS53" s="128"/>
      <c r="AT53" s="129"/>
      <c r="AU53" s="11"/>
      <c r="AX53" s="127">
        <v>1</v>
      </c>
      <c r="AY53" s="128"/>
      <c r="AZ53" s="128"/>
      <c r="BA53" s="129"/>
      <c r="BB53" s="11"/>
    </row>
    <row r="54" spans="1:54" ht="15.75" x14ac:dyDescent="0.25">
      <c r="A54"/>
      <c r="B54"/>
      <c r="C54"/>
      <c r="D54"/>
      <c r="E54"/>
      <c r="H54" s="125"/>
      <c r="I54" s="126"/>
      <c r="J54" s="12">
        <v>3</v>
      </c>
      <c r="K54" s="78"/>
      <c r="L54" s="11"/>
      <c r="O54" s="125"/>
      <c r="P54" s="126"/>
      <c r="Q54" s="12">
        <v>3</v>
      </c>
      <c r="R54" s="78"/>
      <c r="S54" s="11"/>
      <c r="V54" s="138"/>
      <c r="W54" s="138"/>
      <c r="X54" s="3"/>
      <c r="Y54" s="3"/>
      <c r="AC54" s="125"/>
      <c r="AD54" s="126"/>
      <c r="AE54" s="12">
        <v>1</v>
      </c>
      <c r="AF54" s="13"/>
      <c r="AG54" s="11"/>
      <c r="AJ54" s="125"/>
      <c r="AK54" s="126"/>
      <c r="AL54" s="12">
        <v>3</v>
      </c>
      <c r="AM54" s="78"/>
      <c r="AN54" s="11"/>
      <c r="AQ54" s="125"/>
      <c r="AR54" s="126"/>
      <c r="AS54" s="12">
        <v>3</v>
      </c>
      <c r="AT54" s="78"/>
      <c r="AU54" s="11"/>
      <c r="AX54" s="125"/>
      <c r="AY54" s="126"/>
      <c r="AZ54" s="12">
        <v>3</v>
      </c>
      <c r="BA54" s="13"/>
      <c r="BB54" s="11"/>
    </row>
    <row r="55" spans="1:54" x14ac:dyDescent="0.2">
      <c r="A55" s="14"/>
      <c r="B55" s="14"/>
      <c r="C55" s="15">
        <f>IF(OR(D54="A", D54="B", D54="C", D54="D", D54="F"),C54,)</f>
        <v>0</v>
      </c>
      <c r="D55" s="15">
        <f>(IF(D54="A",4,(IF(D54="B",3,IF(D54="C",2,IF(D54="D",1,IF(D54="F",0, )))))))*C55</f>
        <v>0</v>
      </c>
      <c r="E55" s="14"/>
      <c r="F55" s="14"/>
      <c r="G55" s="14"/>
      <c r="H55" s="14"/>
      <c r="I55" s="14"/>
      <c r="J55" s="15">
        <f>IF(OR(K54="A", K54="B", K54="C", K54="D", K54="F"),J54,)</f>
        <v>0</v>
      </c>
      <c r="K55" s="15">
        <f>(IF(K54="A",4,(IF(K54="B",3,IF(K54="C",2,IF(K54="D",1,IF(K54="F",0, )))))))*J55</f>
        <v>0</v>
      </c>
      <c r="L55" s="14"/>
      <c r="M55" s="14"/>
      <c r="N55" s="14"/>
      <c r="O55" s="14"/>
      <c r="P55" s="14"/>
      <c r="Q55" s="15">
        <f>IF(OR(R54="A", R54="B", R54="C", R54="D", R54="F"),Q54,)</f>
        <v>0</v>
      </c>
      <c r="R55" s="15">
        <f>(IF(R54="A",4,(IF(R54="B",3,IF(R54="C",2,IF(R54="D",1,IF(R54="F",0, )))))))*Q55</f>
        <v>0</v>
      </c>
      <c r="S55" s="14"/>
      <c r="T55" s="14"/>
      <c r="U55" s="14"/>
      <c r="V55" s="14"/>
      <c r="W55" s="14"/>
      <c r="X55" s="15">
        <f>IF(OR(Y54="A", Y54="B", Y54="C", Y54="D", Y54="F"),X54,)</f>
        <v>0</v>
      </c>
      <c r="Y55" s="15">
        <f>(IF(Y54="A",4,(IF(Y54="B",3,IF(Y54="C",2,IF(Y54="D",1,IF(Y54="F",0, )))))))*X55</f>
        <v>0</v>
      </c>
      <c r="Z55" s="14"/>
      <c r="AA55" s="14"/>
      <c r="AB55" s="14"/>
      <c r="AC55" s="14"/>
      <c r="AD55" s="14"/>
      <c r="AE55" s="15">
        <f>IF(OR(AF54="A", AF54="B", AF54="C", AF54="D", AF54="F"),AE54,)</f>
        <v>0</v>
      </c>
      <c r="AF55" s="15">
        <f>(IF(AF54="A",4,(IF(AF54="B",3,IF(AF54="C",2,IF(AF54="D",1,IF(AF54="F",0, )))))))*AE55</f>
        <v>0</v>
      </c>
      <c r="AG55" s="14"/>
      <c r="AH55" s="14"/>
      <c r="AI55" s="14"/>
      <c r="AL55" s="15">
        <f>IF(OR(AM54="A", AM54="B", AM54="C", AM54="D", AM54="F"),AL54,)</f>
        <v>0</v>
      </c>
      <c r="AM55" s="15">
        <f>(IF(AM54="A",4,(IF(AM54="B",3,IF(AM54="C",2,IF(AM54="D",1,IF(AM54="F",0, )))))))*AL55</f>
        <v>0</v>
      </c>
      <c r="AS55" s="15">
        <f>IF(OR(AT54="A", AT54="B", AT54="C", AT54="D", AT54="F"),AS54,)</f>
        <v>0</v>
      </c>
      <c r="AT55" s="15">
        <f>(IF(AT54="A",4,(IF(AT54="B",3,IF(AT54="C",2,IF(AT54="D",1,IF(AT54="F",0, )))))))*AS55</f>
        <v>0</v>
      </c>
      <c r="AZ55" s="15">
        <f>IF(OR(BA54="A", BA54="B", BA54="C", BA54="D", BA54="F"),AZ54,)</f>
        <v>0</v>
      </c>
      <c r="BA55" s="15">
        <f>(IF(BA54="A",4,(IF(BA54="B",3,IF(BA54="C",2,IF(BA54="D",1,IF(BA54="F",0, )))))))*AZ55</f>
        <v>0</v>
      </c>
    </row>
    <row r="56" spans="1:54" s="16" customFormat="1" x14ac:dyDescent="0.2">
      <c r="A56" s="14"/>
      <c r="B56" s="14"/>
      <c r="C56" s="14"/>
      <c r="D56" s="29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29"/>
      <c r="AN56" s="14"/>
      <c r="AO56" s="14"/>
      <c r="AP56" s="14"/>
      <c r="AQ56" s="14"/>
      <c r="AR56" s="14"/>
      <c r="AS56" s="15">
        <f>IF(OR(AT55="A", AT55="B", AT55="C", AT55="D", AT55="F"),AS55,)</f>
        <v>0</v>
      </c>
      <c r="AT56" s="15">
        <f>(IF(AT55="A",4,(IF(AT55="B",3,IF(AT55="C",2,IF(AT55="D",1,IF(AT55="F",0, )))))))*AS56</f>
        <v>0</v>
      </c>
      <c r="AU56" s="14"/>
      <c r="AV56" s="14"/>
      <c r="AW56" s="14"/>
      <c r="AX56" s="14"/>
      <c r="AY56" s="29"/>
      <c r="AZ56" s="15">
        <f>IF(OR(BA55="A", BA55="B", BA55="C", BA55="D", BA55="F"),AZ55,)</f>
        <v>0</v>
      </c>
      <c r="BA56" s="15">
        <f>(IF(BA55="A",4,(IF(BA55="B",3,IF(BA55="C",2,IF(BA55="D",1,IF(BA55="F",0, )))))))*AZ56</f>
        <v>0</v>
      </c>
      <c r="BB56" s="14"/>
    </row>
    <row r="57" spans="1:54" x14ac:dyDescent="0.2">
      <c r="D57" s="3"/>
      <c r="AK57" s="3"/>
      <c r="AL57" s="3"/>
      <c r="AM57" s="3"/>
      <c r="AY57" s="3"/>
      <c r="AZ57" s="3"/>
      <c r="BA57" s="3"/>
    </row>
    <row r="58" spans="1:54" x14ac:dyDescent="0.2">
      <c r="D58" s="3"/>
      <c r="AK58" s="3"/>
      <c r="AL58" s="3"/>
      <c r="AM58" s="3"/>
      <c r="AY58" s="2"/>
      <c r="AZ58" s="2"/>
      <c r="BA58" s="3"/>
    </row>
    <row r="59" spans="1:54" x14ac:dyDescent="0.2">
      <c r="D59" s="3"/>
      <c r="AK59" s="3"/>
      <c r="AL59" s="3"/>
      <c r="AM59" s="3"/>
      <c r="AY59" s="3"/>
      <c r="AZ59" s="3"/>
      <c r="BA59" s="3"/>
    </row>
    <row r="60" spans="1:54" x14ac:dyDescent="0.2">
      <c r="C60" s="1">
        <f>C24+C29+C34+C39+C44+C49</f>
        <v>15</v>
      </c>
      <c r="D60" s="1" t="s">
        <v>37</v>
      </c>
      <c r="J60" s="1">
        <f>J24+J29+J34+J49+J54</f>
        <v>15</v>
      </c>
      <c r="K60" s="1" t="s">
        <v>37</v>
      </c>
      <c r="Q60" s="1">
        <f>Q24+Q29+Q34+Q39+Q44+Q54</f>
        <v>16</v>
      </c>
      <c r="R60" s="1" t="s">
        <v>37</v>
      </c>
      <c r="X60" s="1">
        <f>X24+X29+X34+X39+X44+X49</f>
        <v>17</v>
      </c>
      <c r="Y60" s="1" t="s">
        <v>37</v>
      </c>
      <c r="AE60" s="1">
        <f>AE24+AE29+AE34+AE39+AE44+AE54</f>
        <v>16</v>
      </c>
      <c r="AF60" s="1" t="s">
        <v>37</v>
      </c>
      <c r="AL60" s="1">
        <f>AL29+AL34+AL39+AL44+AL49+AL54</f>
        <v>15</v>
      </c>
      <c r="AM60" s="1" t="s">
        <v>37</v>
      </c>
      <c r="AS60" s="1">
        <f>AS24+AS29+AS34+AS39+AS44+AS49+AS54</f>
        <v>17</v>
      </c>
      <c r="AT60" s="1" t="s">
        <v>37</v>
      </c>
      <c r="AZ60" s="1">
        <f>AZ24+AZ29+AZ34+AZ39+AZ49+AZ54</f>
        <v>17</v>
      </c>
      <c r="BA60" s="1" t="s">
        <v>37</v>
      </c>
    </row>
    <row r="61" spans="1:54" x14ac:dyDescent="0.2">
      <c r="C61" s="1">
        <f>C25+C30+C35+C40+C45+C50</f>
        <v>0</v>
      </c>
      <c r="D61" s="1" t="s">
        <v>38</v>
      </c>
      <c r="J61" s="1">
        <f>J25+J30+J35++J50+J55</f>
        <v>0</v>
      </c>
      <c r="K61" s="1" t="s">
        <v>38</v>
      </c>
      <c r="Q61" s="1">
        <f>Q25+Q30+Q35+Q40+Q45+Q55</f>
        <v>0</v>
      </c>
      <c r="R61" s="1" t="s">
        <v>38</v>
      </c>
      <c r="X61" s="1">
        <f>X25+X30+X35+X40+X45+X50</f>
        <v>0</v>
      </c>
      <c r="Y61" s="1" t="s">
        <v>38</v>
      </c>
      <c r="AE61" s="1">
        <f>AE25+AE30+AE35+AE40+AE45+AE55</f>
        <v>0</v>
      </c>
      <c r="AF61" s="1" t="s">
        <v>38</v>
      </c>
      <c r="AL61" s="1">
        <f>AL30+AL35+AL40+AL45+AL50+AL55</f>
        <v>0</v>
      </c>
      <c r="AM61" s="1" t="s">
        <v>38</v>
      </c>
      <c r="AS61" s="1">
        <f>AS25+AS30+AS35+AS40+AS45+AS50+AS55</f>
        <v>0</v>
      </c>
      <c r="AT61" s="1" t="s">
        <v>38</v>
      </c>
      <c r="AZ61" s="1">
        <f>AZ25+AZ30+AZ35+AZ40+AZ50+AZ55</f>
        <v>0</v>
      </c>
      <c r="BA61" s="1" t="s">
        <v>38</v>
      </c>
    </row>
    <row r="62" spans="1:54" ht="15.75" customHeight="1" x14ac:dyDescent="0.2">
      <c r="B62" s="130">
        <f>IF(C61&lt;1,0,((D25+D30+D35+D40+D45+D50)/C61))</f>
        <v>0</v>
      </c>
      <c r="C62" s="130"/>
      <c r="D62" s="1" t="s">
        <v>39</v>
      </c>
      <c r="I62" s="130">
        <f>IF(J61&lt;1,0,((K25+K30+K35+K50+K55)/J61))</f>
        <v>0</v>
      </c>
      <c r="J62" s="130"/>
      <c r="K62" s="1" t="s">
        <v>39</v>
      </c>
      <c r="P62" s="130">
        <f>IF(Q61&lt;1,0,((R25+R30+R35+R40+R45+R55)/Q61))</f>
        <v>0</v>
      </c>
      <c r="Q62" s="130"/>
      <c r="R62" s="1" t="s">
        <v>39</v>
      </c>
      <c r="W62" s="130">
        <f>IF(X61&lt;1,0,((Y25+Y30+Y35+Y40+Y45+Y50)/X61))</f>
        <v>0</v>
      </c>
      <c r="X62" s="130"/>
      <c r="Y62" s="1" t="s">
        <v>39</v>
      </c>
      <c r="AD62" s="130">
        <f>IF(AE61&lt;1,0,((AF25+AF30+AF35+AF40+AF45+AF55)/AE61))</f>
        <v>0</v>
      </c>
      <c r="AE62" s="130"/>
      <c r="AF62" s="1" t="s">
        <v>39</v>
      </c>
      <c r="AK62" s="130">
        <f>IF(AL61&lt;1,0,((AM30+AM35+AM40+AM45+AM50+AM55)/AL61))</f>
        <v>0</v>
      </c>
      <c r="AL62" s="130"/>
      <c r="AM62" s="1" t="s">
        <v>39</v>
      </c>
      <c r="AR62" s="130">
        <f>IF(AS61&lt;1,0,((AT25+AT30+AT35+AT40+AT45+AT50+AT55)/AS61))</f>
        <v>0</v>
      </c>
      <c r="AS62" s="130"/>
      <c r="AT62" s="1" t="s">
        <v>39</v>
      </c>
      <c r="AY62" s="130">
        <f>IF(AZ61&lt;1,0,((BA25+BA30+BA35+BA40+BA50+BA55)/AZ61))</f>
        <v>0</v>
      </c>
      <c r="AZ62" s="130"/>
      <c r="BA62" s="1" t="s">
        <v>39</v>
      </c>
    </row>
    <row r="63" spans="1:54" ht="15.75" thickBot="1" x14ac:dyDescent="0.25">
      <c r="AY63" s="124">
        <f>C60+J60+Q60+X60+AE60+AL60+AS60+AZ60</f>
        <v>128</v>
      </c>
      <c r="AZ63" s="124"/>
    </row>
    <row r="64" spans="1:54" x14ac:dyDescent="0.2">
      <c r="AS64" s="45"/>
      <c r="AT64" s="46"/>
      <c r="AU64" s="46"/>
      <c r="AV64" s="46"/>
      <c r="AW64" s="46"/>
      <c r="AX64" s="46"/>
      <c r="AY64" s="47" t="s">
        <v>256</v>
      </c>
      <c r="AZ64" s="151">
        <f>C61+J61+Q61+X61+AE61+AL61+AS61+AZ61</f>
        <v>0</v>
      </c>
      <c r="BA64" s="152"/>
    </row>
    <row r="65" spans="1:53" ht="15.75" thickBot="1" x14ac:dyDescent="0.25">
      <c r="A65" s="30"/>
      <c r="AS65" s="48"/>
      <c r="AT65" s="49"/>
      <c r="AU65" s="49"/>
      <c r="AV65" s="49"/>
      <c r="AW65" s="49"/>
      <c r="AX65" s="49"/>
      <c r="AY65" s="50" t="s">
        <v>257</v>
      </c>
      <c r="AZ65" s="149" t="e">
        <f>((B62*C61)+(I62*J61)+(P62*Q61)+(W62*X61)+(AD62*AE61)+(AK62*AL61)+(AR62*AS61)+(AY62*AZ61))/AZ64</f>
        <v>#DIV/0!</v>
      </c>
      <c r="BA65" s="150"/>
    </row>
    <row r="66" spans="1:53" ht="15.75" x14ac:dyDescent="0.25">
      <c r="B66" s="31"/>
    </row>
    <row r="70" spans="1:53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53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53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</sheetData>
  <mergeCells count="192">
    <mergeCell ref="AX22:BA22"/>
    <mergeCell ref="AQ22:AT22"/>
    <mergeCell ref="AC22:AF22"/>
    <mergeCell ref="R2:AF5"/>
    <mergeCell ref="H19:L19"/>
    <mergeCell ref="O19:S19"/>
    <mergeCell ref="V19:Z19"/>
    <mergeCell ref="AC19:AG19"/>
    <mergeCell ref="AJ19:AN19"/>
    <mergeCell ref="AQ23:AT23"/>
    <mergeCell ref="AJ27:AM27"/>
    <mergeCell ref="AQ27:AT27"/>
    <mergeCell ref="V22:Y22"/>
    <mergeCell ref="AJ14:AM14"/>
    <mergeCell ref="AN14:AS14"/>
    <mergeCell ref="AT14:AW14"/>
    <mergeCell ref="AJ15:AM15"/>
    <mergeCell ref="V27:Y27"/>
    <mergeCell ref="AC27:AF27"/>
    <mergeCell ref="O27:R27"/>
    <mergeCell ref="H23:K23"/>
    <mergeCell ref="H22:K22"/>
    <mergeCell ref="AX34:AY34"/>
    <mergeCell ref="AX23:BA23"/>
    <mergeCell ref="AX24:AY24"/>
    <mergeCell ref="AX27:BA27"/>
    <mergeCell ref="AX29:AY29"/>
    <mergeCell ref="AC37:AF37"/>
    <mergeCell ref="AV43:AW43"/>
    <mergeCell ref="AC24:AD24"/>
    <mergeCell ref="AJ38:AM38"/>
    <mergeCell ref="AX42:BA42"/>
    <mergeCell ref="AC34:AD34"/>
    <mergeCell ref="AX32:BA32"/>
    <mergeCell ref="AX37:BA37"/>
    <mergeCell ref="AC28:AF28"/>
    <mergeCell ref="AJ33:AM33"/>
    <mergeCell ref="AP33:AP34"/>
    <mergeCell ref="AX43:BA43"/>
    <mergeCell ref="AQ38:AT38"/>
    <mergeCell ref="AX39:AY39"/>
    <mergeCell ref="AQ33:AT33"/>
    <mergeCell ref="AX38:BA38"/>
    <mergeCell ref="AC23:AF23"/>
    <mergeCell ref="AQ24:AR24"/>
    <mergeCell ref="AJ28:AM28"/>
    <mergeCell ref="AJ34:AK34"/>
    <mergeCell ref="H29:I29"/>
    <mergeCell ref="O29:P29"/>
    <mergeCell ref="AC29:AD29"/>
    <mergeCell ref="AJ29:AK29"/>
    <mergeCell ref="AQ29:AR29"/>
    <mergeCell ref="V29:W29"/>
    <mergeCell ref="H28:K28"/>
    <mergeCell ref="O28:R28"/>
    <mergeCell ref="H24:I24"/>
    <mergeCell ref="O24:P24"/>
    <mergeCell ref="V24:W24"/>
    <mergeCell ref="V32:Y32"/>
    <mergeCell ref="AC32:AF32"/>
    <mergeCell ref="AQ32:AT32"/>
    <mergeCell ref="O33:R33"/>
    <mergeCell ref="AC33:AF33"/>
    <mergeCell ref="A1:E1"/>
    <mergeCell ref="AZ65:BA65"/>
    <mergeCell ref="AZ64:BA64"/>
    <mergeCell ref="A9:D9"/>
    <mergeCell ref="X9:AA9"/>
    <mergeCell ref="A10:B10"/>
    <mergeCell ref="X10:Y10"/>
    <mergeCell ref="A17:M17"/>
    <mergeCell ref="O17:AA17"/>
    <mergeCell ref="AV1:AX1"/>
    <mergeCell ref="A2:P3"/>
    <mergeCell ref="AK2:AL2"/>
    <mergeCell ref="A8:D8"/>
    <mergeCell ref="X8:AA8"/>
    <mergeCell ref="AC17:AO17"/>
    <mergeCell ref="AQ17:BC17"/>
    <mergeCell ref="AQ19:AU19"/>
    <mergeCell ref="AX19:BB19"/>
    <mergeCell ref="O32:R32"/>
    <mergeCell ref="AJ42:AM42"/>
    <mergeCell ref="AJ32:AM32"/>
    <mergeCell ref="AQ37:AT37"/>
    <mergeCell ref="AJ37:AM37"/>
    <mergeCell ref="AQ34:AR34"/>
    <mergeCell ref="A19:E19"/>
    <mergeCell ref="A33:D33"/>
    <mergeCell ref="AC38:AF38"/>
    <mergeCell ref="J36:L36"/>
    <mergeCell ref="A34:B34"/>
    <mergeCell ref="V33:Y33"/>
    <mergeCell ref="O34:P34"/>
    <mergeCell ref="V34:W34"/>
    <mergeCell ref="A38:D38"/>
    <mergeCell ref="O22:R22"/>
    <mergeCell ref="A27:D27"/>
    <mergeCell ref="A23:D23"/>
    <mergeCell ref="H34:I34"/>
    <mergeCell ref="H33:K33"/>
    <mergeCell ref="A28:D28"/>
    <mergeCell ref="A32:D32"/>
    <mergeCell ref="V28:Y28"/>
    <mergeCell ref="H32:K32"/>
    <mergeCell ref="A22:D22"/>
    <mergeCell ref="A24:B24"/>
    <mergeCell ref="A29:B29"/>
    <mergeCell ref="H27:K27"/>
    <mergeCell ref="O23:R23"/>
    <mergeCell ref="V23:Y23"/>
    <mergeCell ref="A47:D47"/>
    <mergeCell ref="H47:K47"/>
    <mergeCell ref="O47:R47"/>
    <mergeCell ref="A37:D37"/>
    <mergeCell ref="A42:D42"/>
    <mergeCell ref="V42:Y42"/>
    <mergeCell ref="O37:R37"/>
    <mergeCell ref="V37:Y37"/>
    <mergeCell ref="F38:G38"/>
    <mergeCell ref="O39:P39"/>
    <mergeCell ref="O38:R38"/>
    <mergeCell ref="V38:Y38"/>
    <mergeCell ref="A39:B39"/>
    <mergeCell ref="A43:D43"/>
    <mergeCell ref="A44:B44"/>
    <mergeCell ref="A48:D48"/>
    <mergeCell ref="H48:K48"/>
    <mergeCell ref="O48:R48"/>
    <mergeCell ref="V48:Y48"/>
    <mergeCell ref="AQ52:AT52"/>
    <mergeCell ref="AX52:BA52"/>
    <mergeCell ref="A49:B49"/>
    <mergeCell ref="H49:I49"/>
    <mergeCell ref="O49:P49"/>
    <mergeCell ref="AQ49:AR49"/>
    <mergeCell ref="AX49:AY49"/>
    <mergeCell ref="V52:Y52"/>
    <mergeCell ref="V49:W49"/>
    <mergeCell ref="AQ48:AT48"/>
    <mergeCell ref="AJ48:AM48"/>
    <mergeCell ref="H52:K52"/>
    <mergeCell ref="O52:R52"/>
    <mergeCell ref="AC52:AF52"/>
    <mergeCell ref="AJ52:AM52"/>
    <mergeCell ref="AJ49:AK49"/>
    <mergeCell ref="AX47:BA47"/>
    <mergeCell ref="V39:W39"/>
    <mergeCell ref="O43:R43"/>
    <mergeCell ref="AX48:BA48"/>
    <mergeCell ref="AQ43:AT43"/>
    <mergeCell ref="V47:Y47"/>
    <mergeCell ref="V44:W44"/>
    <mergeCell ref="V54:W54"/>
    <mergeCell ref="AQ47:AT47"/>
    <mergeCell ref="O42:R42"/>
    <mergeCell ref="AJ39:AK39"/>
    <mergeCell ref="AQ39:AR39"/>
    <mergeCell ref="AQ42:AT42"/>
    <mergeCell ref="AC39:AD39"/>
    <mergeCell ref="AC42:AF42"/>
    <mergeCell ref="AJ47:AM47"/>
    <mergeCell ref="O44:P44"/>
    <mergeCell ref="V43:Y43"/>
    <mergeCell ref="AC43:AF43"/>
    <mergeCell ref="AJ43:AM43"/>
    <mergeCell ref="AQ44:AR44"/>
    <mergeCell ref="AJ44:AK44"/>
    <mergeCell ref="AC44:AD44"/>
    <mergeCell ref="AX44:AY44"/>
    <mergeCell ref="AY63:AZ63"/>
    <mergeCell ref="AX54:AY54"/>
    <mergeCell ref="AX53:BA53"/>
    <mergeCell ref="B62:C62"/>
    <mergeCell ref="I62:J62"/>
    <mergeCell ref="P62:Q62"/>
    <mergeCell ref="W62:X62"/>
    <mergeCell ref="AD62:AE62"/>
    <mergeCell ref="AK62:AL62"/>
    <mergeCell ref="AR62:AS62"/>
    <mergeCell ref="AY62:AZ62"/>
    <mergeCell ref="H54:I54"/>
    <mergeCell ref="O54:P54"/>
    <mergeCell ref="AC54:AD54"/>
    <mergeCell ref="AJ54:AK54"/>
    <mergeCell ref="AQ54:AR54"/>
    <mergeCell ref="H53:K53"/>
    <mergeCell ref="O53:R53"/>
    <mergeCell ref="AC53:AF53"/>
    <mergeCell ref="AJ53:AM53"/>
    <mergeCell ref="AQ53:AT53"/>
    <mergeCell ref="V53:Y53"/>
  </mergeCells>
  <conditionalFormatting sqref="AJ15:AN15">
    <cfRule type="expression" dxfId="54" priority="1">
      <formula>IF($AN$15&gt;8,1,0)</formula>
    </cfRule>
    <cfRule type="expression" dxfId="53" priority="2">
      <formula>AND(IF($AN$15&gt;0,1),IF($AN$15&lt;9,1))</formula>
    </cfRule>
  </conditionalFormatting>
  <pageMargins left="0.45" right="0.45" top="0.5" bottom="0.5" header="0" footer="0"/>
  <pageSetup scale="5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14</xdr:col>
                    <xdr:colOff>0</xdr:colOff>
                    <xdr:row>52</xdr:row>
                    <xdr:rowOff>0</xdr:rowOff>
                  </from>
                  <to>
                    <xdr:col>18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34</xdr:col>
                    <xdr:colOff>285750</xdr:colOff>
                    <xdr:row>52</xdr:row>
                    <xdr:rowOff>0</xdr:rowOff>
                  </from>
                  <to>
                    <xdr:col>39</xdr:col>
                    <xdr:colOff>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Drop Down 9">
              <controlPr defaultSize="0" autoLine="0" autoPict="0">
                <anchor moveWithCells="1">
                  <from>
                    <xdr:col>7</xdr:col>
                    <xdr:colOff>9525</xdr:colOff>
                    <xdr:row>52</xdr:row>
                    <xdr:rowOff>0</xdr:rowOff>
                  </from>
                  <to>
                    <xdr:col>11</xdr:col>
                    <xdr:colOff>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Drop Down 10">
              <controlPr defaultSize="0" autoLine="0" autoPict="0">
                <anchor moveWithCells="1">
                  <from>
                    <xdr:col>21</xdr:col>
                    <xdr:colOff>0</xdr:colOff>
                    <xdr:row>42</xdr:row>
                    <xdr:rowOff>0</xdr:rowOff>
                  </from>
                  <to>
                    <xdr:col>25</xdr:col>
                    <xdr:colOff>57150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Drop Down 14">
              <controlPr defaultSize="0" autoLine="0" autoPict="0">
                <anchor moveWithCells="1">
                  <from>
                    <xdr:col>28</xdr:col>
                    <xdr:colOff>0</xdr:colOff>
                    <xdr:row>37</xdr:row>
                    <xdr:rowOff>0</xdr:rowOff>
                  </from>
                  <to>
                    <xdr:col>32</xdr:col>
                    <xdr:colOff>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Drop Down 15">
              <controlPr defaultSize="0" autoLine="0" autoPict="0">
                <anchor moveWithCells="1">
                  <from>
                    <xdr:col>42</xdr:col>
                    <xdr:colOff>0</xdr:colOff>
                    <xdr:row>52</xdr:row>
                    <xdr:rowOff>0</xdr:rowOff>
                  </from>
                  <to>
                    <xdr:col>46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Drop Down 16">
              <controlPr defaultSize="0" autoLine="0" autoPict="0">
                <anchor moveWithCells="1">
                  <from>
                    <xdr:col>49</xdr:col>
                    <xdr:colOff>9525</xdr:colOff>
                    <xdr:row>51</xdr:row>
                    <xdr:rowOff>180975</xdr:rowOff>
                  </from>
                  <to>
                    <xdr:col>53</xdr:col>
                    <xdr:colOff>9525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Drop Down 17">
              <controlPr defaultSize="0" autoLine="0" autoPict="0">
                <anchor moveWithCells="1">
                  <from>
                    <xdr:col>42</xdr:col>
                    <xdr:colOff>0</xdr:colOff>
                    <xdr:row>22</xdr:row>
                    <xdr:rowOff>0</xdr:rowOff>
                  </from>
                  <to>
                    <xdr:col>46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Drop Down 18">
              <controlPr defaultSize="0" autoLine="0" autoPict="0">
                <anchor moveWithCells="1">
                  <from>
                    <xdr:col>42</xdr:col>
                    <xdr:colOff>9525</xdr:colOff>
                    <xdr:row>47</xdr:row>
                    <xdr:rowOff>0</xdr:rowOff>
                  </from>
                  <to>
                    <xdr:col>46</xdr:col>
                    <xdr:colOff>9525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Drop Down 44">
              <controlPr defaultSize="0" autoLine="0" autoPict="0">
                <anchor moveWithCells="1">
                  <from>
                    <xdr:col>41</xdr:col>
                    <xdr:colOff>333375</xdr:colOff>
                    <xdr:row>27</xdr:row>
                    <xdr:rowOff>0</xdr:rowOff>
                  </from>
                  <to>
                    <xdr:col>45</xdr:col>
                    <xdr:colOff>323850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Drop Down 45">
              <controlPr defaultSize="0" autoLine="0" autoPict="0">
                <anchor moveWithCells="1">
                  <from>
                    <xdr:col>49</xdr:col>
                    <xdr:colOff>9525</xdr:colOff>
                    <xdr:row>27</xdr:row>
                    <xdr:rowOff>0</xdr:rowOff>
                  </from>
                  <to>
                    <xdr:col>53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5" name="Drop Down 46">
              <controlPr defaultSize="0" autoLine="0" autoPict="0">
                <anchor moveWithCells="1">
                  <from>
                    <xdr:col>49</xdr:col>
                    <xdr:colOff>0</xdr:colOff>
                    <xdr:row>32</xdr:row>
                    <xdr:rowOff>0</xdr:rowOff>
                  </from>
                  <to>
                    <xdr:col>53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D333-F61D-4BCF-B523-2DB14CC4E979}">
  <sheetPr>
    <pageSetUpPr fitToPage="1"/>
  </sheetPr>
  <dimension ref="B2:U68"/>
  <sheetViews>
    <sheetView topLeftCell="A40" workbookViewId="0">
      <selection activeCell="C66" sqref="C66:E66"/>
    </sheetView>
  </sheetViews>
  <sheetFormatPr defaultRowHeight="15" x14ac:dyDescent="0.25"/>
  <cols>
    <col min="2" max="2" width="6.140625" customWidth="1"/>
    <col min="3" max="3" width="16.7109375" bestFit="1" customWidth="1"/>
    <col min="4" max="4" width="13.5703125" customWidth="1"/>
    <col min="5" max="5" width="17.28515625" customWidth="1"/>
    <col min="6" max="6" width="7" style="41" customWidth="1"/>
    <col min="7" max="9" width="6.85546875" style="41" hidden="1" customWidth="1"/>
    <col min="10" max="10" width="6.85546875" style="41" customWidth="1"/>
    <col min="11" max="15" width="4.7109375" customWidth="1"/>
    <col min="16" max="16" width="11.7109375" style="41" customWidth="1"/>
    <col min="21" max="21" width="9.140625" hidden="1" customWidth="1"/>
  </cols>
  <sheetData>
    <row r="2" spans="2:21" x14ac:dyDescent="0.25">
      <c r="U2" t="s">
        <v>361</v>
      </c>
    </row>
    <row r="3" spans="2:21" x14ac:dyDescent="0.25">
      <c r="B3" s="185"/>
      <c r="C3" s="185"/>
      <c r="D3" s="185"/>
      <c r="E3" s="185"/>
      <c r="F3" s="185"/>
      <c r="G3" s="185"/>
      <c r="H3" s="185"/>
      <c r="I3" s="185"/>
      <c r="J3" s="185"/>
      <c r="K3" s="187"/>
      <c r="L3" s="187"/>
      <c r="M3" s="187"/>
      <c r="N3" s="187"/>
      <c r="O3" s="187"/>
    </row>
    <row r="4" spans="2:21" x14ac:dyDescent="0.25">
      <c r="B4" s="188" t="s">
        <v>275</v>
      </c>
      <c r="C4" s="188"/>
      <c r="D4" s="188"/>
      <c r="E4" s="186" t="s">
        <v>276</v>
      </c>
      <c r="F4" s="186"/>
      <c r="G4" s="83"/>
      <c r="H4" s="83"/>
      <c r="I4" s="83"/>
      <c r="J4" s="83"/>
      <c r="K4" s="186" t="s">
        <v>277</v>
      </c>
      <c r="L4" s="186"/>
      <c r="M4" s="186"/>
      <c r="N4" s="186"/>
      <c r="O4" s="186"/>
      <c r="P4" s="83"/>
    </row>
    <row r="5" spans="2:21" ht="7.5" customHeight="1" x14ac:dyDescent="0.25">
      <c r="G5" s="41" t="s">
        <v>322</v>
      </c>
      <c r="H5" s="41" t="s">
        <v>322</v>
      </c>
      <c r="I5" s="41" t="s">
        <v>322</v>
      </c>
    </row>
    <row r="6" spans="2:21" ht="7.5" customHeight="1" x14ac:dyDescent="0.25">
      <c r="B6" s="90"/>
      <c r="C6" s="97"/>
      <c r="D6" s="98"/>
      <c r="E6" s="99"/>
      <c r="F6" s="108"/>
      <c r="G6" s="86"/>
      <c r="H6" s="86"/>
      <c r="I6" s="86"/>
      <c r="J6" s="108"/>
      <c r="K6" s="97"/>
      <c r="L6" s="98"/>
      <c r="M6" s="98"/>
      <c r="N6" s="98"/>
      <c r="O6" s="99"/>
      <c r="P6" s="108"/>
    </row>
    <row r="7" spans="2:21" x14ac:dyDescent="0.25">
      <c r="B7" s="91"/>
      <c r="C7" s="173" t="s">
        <v>278</v>
      </c>
      <c r="D7" s="174"/>
      <c r="E7" s="175"/>
      <c r="F7" s="180" t="s">
        <v>306</v>
      </c>
      <c r="G7" s="82"/>
      <c r="H7" s="82"/>
      <c r="I7" s="82"/>
      <c r="J7" s="180" t="s">
        <v>307</v>
      </c>
      <c r="K7" s="182" t="s">
        <v>308</v>
      </c>
      <c r="L7" s="183"/>
      <c r="M7" s="183"/>
      <c r="N7" s="183"/>
      <c r="O7" s="184"/>
      <c r="P7" s="109" t="s">
        <v>309</v>
      </c>
    </row>
    <row r="8" spans="2:21" x14ac:dyDescent="0.25">
      <c r="B8" s="92"/>
      <c r="C8" s="176"/>
      <c r="D8" s="177"/>
      <c r="E8" s="178"/>
      <c r="F8" s="181"/>
      <c r="G8" s="85"/>
      <c r="H8" s="84"/>
      <c r="I8" s="84"/>
      <c r="J8" s="181"/>
      <c r="K8" s="114" t="s">
        <v>99</v>
      </c>
      <c r="L8" s="84" t="s">
        <v>100</v>
      </c>
      <c r="M8" s="84" t="s">
        <v>101</v>
      </c>
      <c r="N8" s="84" t="s">
        <v>102</v>
      </c>
      <c r="O8" s="115" t="s">
        <v>103</v>
      </c>
      <c r="P8" s="110" t="s">
        <v>383</v>
      </c>
    </row>
    <row r="9" spans="2:21" ht="15" customHeight="1" x14ac:dyDescent="0.25">
      <c r="B9" s="171" t="s">
        <v>310</v>
      </c>
      <c r="C9" s="100" t="s">
        <v>15</v>
      </c>
      <c r="D9" t="s">
        <v>373</v>
      </c>
      <c r="E9" s="101"/>
      <c r="F9" s="111" t="str">
        <f>IF(G9=0," ",G9)</f>
        <v xml:space="preserve"> </v>
      </c>
      <c r="G9" s="41">
        <f>Flowchart!O34</f>
        <v>0</v>
      </c>
      <c r="H9" s="41">
        <f>Flowchart!Q34</f>
        <v>2</v>
      </c>
      <c r="I9" s="41">
        <f>Flowchart!R34</f>
        <v>0</v>
      </c>
      <c r="J9" s="111" t="str">
        <f>IF(I9=0," ",I9)</f>
        <v xml:space="preserve"> </v>
      </c>
      <c r="K9" s="100" t="str">
        <f>IF($I9="A",$H9," ")</f>
        <v xml:space="preserve"> </v>
      </c>
      <c r="L9" s="41" t="str">
        <f>IF($I9="B",$H9," ")</f>
        <v xml:space="preserve"> </v>
      </c>
      <c r="M9" s="41" t="str">
        <f>IF($I9="C",$H9," ")</f>
        <v xml:space="preserve"> </v>
      </c>
      <c r="N9" s="41" t="str">
        <f>IF($I9="D",$H9," ")</f>
        <v xml:space="preserve"> </v>
      </c>
      <c r="O9" s="116" t="str">
        <f>IF($I9="T",$H9," ")</f>
        <v xml:space="preserve"> </v>
      </c>
      <c r="P9" s="111"/>
    </row>
    <row r="10" spans="2:21" x14ac:dyDescent="0.25">
      <c r="B10" s="172"/>
      <c r="C10" s="100" t="s">
        <v>215</v>
      </c>
      <c r="D10" t="s">
        <v>374</v>
      </c>
      <c r="E10" s="101"/>
      <c r="F10" s="111" t="str">
        <f t="shared" ref="F10:F60" si="0">IF(G10=0," ",G10)</f>
        <v xml:space="preserve"> </v>
      </c>
      <c r="G10" s="41">
        <f>Flowchart!O29</f>
        <v>0</v>
      </c>
      <c r="H10" s="41">
        <f>Flowchart!Q29</f>
        <v>3</v>
      </c>
      <c r="I10" s="41">
        <f>Flowchart!R29</f>
        <v>0</v>
      </c>
      <c r="J10" s="111" t="str">
        <f t="shared" ref="J10:J60" si="1">IF(I10=0," ",I10)</f>
        <v xml:space="preserve"> </v>
      </c>
      <c r="K10" s="100" t="str">
        <f t="shared" ref="K10:K60" si="2">IF($I10="A",$H10," ")</f>
        <v xml:space="preserve"> </v>
      </c>
      <c r="L10" s="41" t="str">
        <f t="shared" ref="L10:L60" si="3">IF($I10="B",$H10," ")</f>
        <v xml:space="preserve"> </v>
      </c>
      <c r="M10" s="41" t="str">
        <f t="shared" ref="M10:M60" si="4">IF($I10="C",$H10," ")</f>
        <v xml:space="preserve"> </v>
      </c>
      <c r="N10" s="41" t="str">
        <f t="shared" ref="N10:N60" si="5">IF($I10="D",$H10," ")</f>
        <v xml:space="preserve"> </v>
      </c>
      <c r="O10" s="116" t="str">
        <f t="shared" ref="O10:O60" si="6">IF($I10="T",$H10," ")</f>
        <v xml:space="preserve"> </v>
      </c>
      <c r="P10" s="111"/>
    </row>
    <row r="11" spans="2:21" x14ac:dyDescent="0.25">
      <c r="B11" s="172"/>
      <c r="C11" s="100" t="s">
        <v>216</v>
      </c>
      <c r="D11" t="s">
        <v>375</v>
      </c>
      <c r="E11" s="101"/>
      <c r="F11" s="111" t="str">
        <f t="shared" si="0"/>
        <v xml:space="preserve"> </v>
      </c>
      <c r="G11" s="41">
        <f>Flowchart!V29</f>
        <v>0</v>
      </c>
      <c r="H11" s="41">
        <f>Flowchart!X29</f>
        <v>3</v>
      </c>
      <c r="I11" s="41">
        <f>Flowchart!Y29</f>
        <v>0</v>
      </c>
      <c r="J11" s="111" t="str">
        <f t="shared" si="1"/>
        <v xml:space="preserve"> </v>
      </c>
      <c r="K11" s="100" t="str">
        <f t="shared" si="2"/>
        <v xml:space="preserve"> </v>
      </c>
      <c r="L11" s="41" t="str">
        <f t="shared" si="3"/>
        <v xml:space="preserve"> </v>
      </c>
      <c r="M11" s="41" t="str">
        <f t="shared" si="4"/>
        <v xml:space="preserve"> </v>
      </c>
      <c r="N11" s="41" t="str">
        <f t="shared" si="5"/>
        <v xml:space="preserve"> </v>
      </c>
      <c r="O11" s="116" t="str">
        <f t="shared" si="6"/>
        <v xml:space="preserve"> </v>
      </c>
      <c r="P11" s="111"/>
    </row>
    <row r="12" spans="2:21" x14ac:dyDescent="0.25">
      <c r="B12" s="172"/>
      <c r="C12" s="100" t="s">
        <v>24</v>
      </c>
      <c r="D12" t="s">
        <v>279</v>
      </c>
      <c r="E12" s="101"/>
      <c r="F12" s="111" t="str">
        <f t="shared" si="0"/>
        <v xml:space="preserve"> </v>
      </c>
      <c r="G12" s="41">
        <f>Flowchart!O39</f>
        <v>0</v>
      </c>
      <c r="H12" s="41">
        <f>Flowchart!Q39</f>
        <v>3</v>
      </c>
      <c r="I12" s="41">
        <f>Flowchart!R39</f>
        <v>0</v>
      </c>
      <c r="J12" s="111" t="str">
        <f t="shared" si="1"/>
        <v xml:space="preserve"> </v>
      </c>
      <c r="K12" s="100" t="str">
        <f t="shared" si="2"/>
        <v xml:space="preserve"> </v>
      </c>
      <c r="L12" s="41" t="str">
        <f t="shared" si="3"/>
        <v xml:space="preserve"> </v>
      </c>
      <c r="M12" s="41" t="str">
        <f t="shared" si="4"/>
        <v xml:space="preserve"> </v>
      </c>
      <c r="N12" s="41" t="str">
        <f t="shared" si="5"/>
        <v xml:space="preserve"> </v>
      </c>
      <c r="O12" s="116" t="str">
        <f t="shared" si="6"/>
        <v xml:space="preserve"> </v>
      </c>
      <c r="P12" s="111"/>
    </row>
    <row r="13" spans="2:21" x14ac:dyDescent="0.25">
      <c r="B13" s="172"/>
      <c r="C13" s="100" t="s">
        <v>29</v>
      </c>
      <c r="D13" t="s">
        <v>376</v>
      </c>
      <c r="E13" s="101"/>
      <c r="F13" s="111" t="str">
        <f t="shared" si="0"/>
        <v xml:space="preserve"> </v>
      </c>
      <c r="G13" s="41">
        <f>Flowchart!O44</f>
        <v>0</v>
      </c>
      <c r="H13" s="41">
        <f>Flowchart!Q44</f>
        <v>1</v>
      </c>
      <c r="I13" s="41">
        <f>Flowchart!R44</f>
        <v>0</v>
      </c>
      <c r="J13" s="111" t="str">
        <f t="shared" si="1"/>
        <v xml:space="preserve"> </v>
      </c>
      <c r="K13" s="100" t="str">
        <f t="shared" si="2"/>
        <v xml:space="preserve"> </v>
      </c>
      <c r="L13" s="41" t="str">
        <f t="shared" si="3"/>
        <v xml:space="preserve"> </v>
      </c>
      <c r="M13" s="41" t="str">
        <f t="shared" si="4"/>
        <v xml:space="preserve"> </v>
      </c>
      <c r="N13" s="41" t="str">
        <f t="shared" si="5"/>
        <v xml:space="preserve"> </v>
      </c>
      <c r="O13" s="116" t="str">
        <f t="shared" si="6"/>
        <v xml:space="preserve"> </v>
      </c>
      <c r="P13" s="111"/>
    </row>
    <row r="14" spans="2:21" x14ac:dyDescent="0.25">
      <c r="B14" s="172"/>
      <c r="C14" s="100" t="s">
        <v>20</v>
      </c>
      <c r="D14" t="s">
        <v>280</v>
      </c>
      <c r="E14" s="101"/>
      <c r="F14" s="111" t="str">
        <f t="shared" si="0"/>
        <v xml:space="preserve"> </v>
      </c>
      <c r="G14" s="41">
        <f>Flowchart!V34</f>
        <v>0</v>
      </c>
      <c r="H14" s="41">
        <f>Flowchart!X34</f>
        <v>3</v>
      </c>
      <c r="I14" s="41">
        <f>Flowchart!Y34</f>
        <v>0</v>
      </c>
      <c r="J14" s="111" t="str">
        <f t="shared" si="1"/>
        <v xml:space="preserve"> </v>
      </c>
      <c r="K14" s="100" t="str">
        <f t="shared" si="2"/>
        <v xml:space="preserve"> </v>
      </c>
      <c r="L14" s="41" t="str">
        <f t="shared" si="3"/>
        <v xml:space="preserve"> </v>
      </c>
      <c r="M14" s="41" t="str">
        <f t="shared" si="4"/>
        <v xml:space="preserve"> </v>
      </c>
      <c r="N14" s="41" t="str">
        <f t="shared" si="5"/>
        <v xml:space="preserve"> </v>
      </c>
      <c r="O14" s="116" t="str">
        <f t="shared" si="6"/>
        <v xml:space="preserve"> </v>
      </c>
      <c r="P14" s="111"/>
    </row>
    <row r="15" spans="2:21" x14ac:dyDescent="0.25">
      <c r="B15" s="172"/>
      <c r="C15" s="100" t="s">
        <v>194</v>
      </c>
      <c r="D15" t="s">
        <v>377</v>
      </c>
      <c r="E15" s="101"/>
      <c r="F15" s="111" t="str">
        <f t="shared" si="0"/>
        <v xml:space="preserve"> </v>
      </c>
      <c r="G15" s="41">
        <f>Flowchart!AC54</f>
        <v>0</v>
      </c>
      <c r="H15" s="41">
        <f>Flowchart!AE54</f>
        <v>1</v>
      </c>
      <c r="I15" s="41">
        <f>Flowchart!AF54</f>
        <v>0</v>
      </c>
      <c r="J15" s="111" t="str">
        <f t="shared" si="1"/>
        <v xml:space="preserve"> </v>
      </c>
      <c r="K15" s="100" t="str">
        <f t="shared" si="2"/>
        <v xml:space="preserve"> </v>
      </c>
      <c r="L15" s="41" t="str">
        <f t="shared" si="3"/>
        <v xml:space="preserve"> </v>
      </c>
      <c r="M15" s="41" t="str">
        <f t="shared" si="4"/>
        <v xml:space="preserve"> </v>
      </c>
      <c r="N15" s="41" t="str">
        <f t="shared" si="5"/>
        <v xml:space="preserve"> </v>
      </c>
      <c r="O15" s="116" t="str">
        <f t="shared" si="6"/>
        <v xml:space="preserve"> </v>
      </c>
      <c r="P15" s="111"/>
    </row>
    <row r="16" spans="2:21" x14ac:dyDescent="0.25">
      <c r="B16" s="172"/>
      <c r="C16" s="100" t="s">
        <v>214</v>
      </c>
      <c r="D16" t="s">
        <v>281</v>
      </c>
      <c r="E16" s="101"/>
      <c r="F16" s="111" t="str">
        <f t="shared" si="0"/>
        <v xml:space="preserve"> </v>
      </c>
      <c r="G16" s="41">
        <f>Flowchart!AJ39</f>
        <v>0</v>
      </c>
      <c r="H16" s="41">
        <f>Flowchart!AL39</f>
        <v>2</v>
      </c>
      <c r="I16" s="41">
        <f>Flowchart!AM39</f>
        <v>0</v>
      </c>
      <c r="J16" s="111" t="str">
        <f t="shared" si="1"/>
        <v xml:space="preserve"> </v>
      </c>
      <c r="K16" s="100" t="str">
        <f t="shared" si="2"/>
        <v xml:space="preserve"> </v>
      </c>
      <c r="L16" s="41" t="str">
        <f t="shared" si="3"/>
        <v xml:space="preserve"> </v>
      </c>
      <c r="M16" s="41" t="str">
        <f t="shared" si="4"/>
        <v xml:space="preserve"> </v>
      </c>
      <c r="N16" s="41" t="str">
        <f t="shared" si="5"/>
        <v xml:space="preserve"> </v>
      </c>
      <c r="O16" s="116" t="str">
        <f t="shared" si="6"/>
        <v xml:space="preserve"> </v>
      </c>
      <c r="P16" s="111"/>
    </row>
    <row r="17" spans="2:16" x14ac:dyDescent="0.25">
      <c r="B17" s="172"/>
      <c r="C17" s="100" t="s">
        <v>30</v>
      </c>
      <c r="D17" t="s">
        <v>282</v>
      </c>
      <c r="E17" s="101"/>
      <c r="F17" s="111" t="str">
        <f t="shared" si="0"/>
        <v xml:space="preserve"> </v>
      </c>
      <c r="G17" s="41">
        <f>Flowchart!AJ44</f>
        <v>0</v>
      </c>
      <c r="H17" s="41">
        <f>Flowchart!AL44</f>
        <v>1</v>
      </c>
      <c r="I17" s="41">
        <f>Flowchart!AM44</f>
        <v>0</v>
      </c>
      <c r="J17" s="111" t="str">
        <f t="shared" si="1"/>
        <v xml:space="preserve"> </v>
      </c>
      <c r="K17" s="100" t="str">
        <f t="shared" si="2"/>
        <v xml:space="preserve"> </v>
      </c>
      <c r="L17" s="41" t="str">
        <f t="shared" si="3"/>
        <v xml:space="preserve"> </v>
      </c>
      <c r="M17" s="41" t="str">
        <f t="shared" si="4"/>
        <v xml:space="preserve"> </v>
      </c>
      <c r="N17" s="41" t="str">
        <f t="shared" si="5"/>
        <v xml:space="preserve"> </v>
      </c>
      <c r="O17" s="116" t="str">
        <f t="shared" si="6"/>
        <v xml:space="preserve"> </v>
      </c>
      <c r="P17" s="111"/>
    </row>
    <row r="18" spans="2:16" x14ac:dyDescent="0.25">
      <c r="B18" s="172"/>
      <c r="C18" s="100" t="s">
        <v>21</v>
      </c>
      <c r="D18" t="s">
        <v>283</v>
      </c>
      <c r="E18" s="101"/>
      <c r="F18" s="111" t="str">
        <f t="shared" si="0"/>
        <v xml:space="preserve"> </v>
      </c>
      <c r="G18" s="41">
        <f>Flowchart!AC34</f>
        <v>0</v>
      </c>
      <c r="H18" s="41">
        <f>Flowchart!AE34</f>
        <v>3</v>
      </c>
      <c r="I18" s="41">
        <f>Flowchart!AF34</f>
        <v>0</v>
      </c>
      <c r="J18" s="111" t="str">
        <f t="shared" si="1"/>
        <v xml:space="preserve"> </v>
      </c>
      <c r="K18" s="100" t="str">
        <f t="shared" si="2"/>
        <v xml:space="preserve"> </v>
      </c>
      <c r="L18" s="41" t="str">
        <f t="shared" si="3"/>
        <v xml:space="preserve"> </v>
      </c>
      <c r="M18" s="41" t="str">
        <f t="shared" si="4"/>
        <v xml:space="preserve"> </v>
      </c>
      <c r="N18" s="41" t="str">
        <f t="shared" si="5"/>
        <v xml:space="preserve"> </v>
      </c>
      <c r="O18" s="116" t="str">
        <f t="shared" si="6"/>
        <v xml:space="preserve"> </v>
      </c>
      <c r="P18" s="111"/>
    </row>
    <row r="19" spans="2:16" x14ac:dyDescent="0.25">
      <c r="B19" s="172"/>
      <c r="C19" s="100" t="s">
        <v>25</v>
      </c>
      <c r="D19" t="s">
        <v>28</v>
      </c>
      <c r="E19" s="101"/>
      <c r="F19" s="111" t="str">
        <f t="shared" si="0"/>
        <v xml:space="preserve"> </v>
      </c>
      <c r="G19" s="41">
        <f>Flowchart!AJ49</f>
        <v>0</v>
      </c>
      <c r="H19" s="41">
        <f>Flowchart!AL49</f>
        <v>3</v>
      </c>
      <c r="I19" s="41">
        <f>Flowchart!AM49</f>
        <v>0</v>
      </c>
      <c r="J19" s="111" t="str">
        <f t="shared" si="1"/>
        <v xml:space="preserve"> </v>
      </c>
      <c r="K19" s="100" t="str">
        <f t="shared" si="2"/>
        <v xml:space="preserve"> </v>
      </c>
      <c r="L19" s="41" t="str">
        <f t="shared" si="3"/>
        <v xml:space="preserve"> </v>
      </c>
      <c r="M19" s="41" t="str">
        <f t="shared" si="4"/>
        <v xml:space="preserve"> </v>
      </c>
      <c r="N19" s="41" t="str">
        <f t="shared" si="5"/>
        <v xml:space="preserve"> </v>
      </c>
      <c r="O19" s="116" t="str">
        <f t="shared" si="6"/>
        <v xml:space="preserve"> </v>
      </c>
      <c r="P19" s="111"/>
    </row>
    <row r="20" spans="2:16" x14ac:dyDescent="0.25">
      <c r="B20" s="172"/>
      <c r="C20" s="100" t="s">
        <v>22</v>
      </c>
      <c r="D20" t="s">
        <v>378</v>
      </c>
      <c r="E20" s="101"/>
      <c r="F20" s="111" t="str">
        <f t="shared" si="0"/>
        <v xml:space="preserve"> </v>
      </c>
      <c r="G20" s="41">
        <f>Flowchart!AJ34</f>
        <v>0</v>
      </c>
      <c r="H20" s="41">
        <f>Flowchart!AL34</f>
        <v>3</v>
      </c>
      <c r="I20" s="41">
        <f>Flowchart!AM34</f>
        <v>0</v>
      </c>
      <c r="J20" s="111" t="str">
        <f t="shared" si="1"/>
        <v xml:space="preserve"> </v>
      </c>
      <c r="K20" s="100" t="str">
        <f t="shared" si="2"/>
        <v xml:space="preserve"> </v>
      </c>
      <c r="L20" s="41" t="str">
        <f t="shared" si="3"/>
        <v xml:space="preserve"> </v>
      </c>
      <c r="M20" s="41" t="str">
        <f t="shared" si="4"/>
        <v xml:space="preserve"> </v>
      </c>
      <c r="N20" s="41" t="str">
        <f t="shared" si="5"/>
        <v xml:space="preserve"> </v>
      </c>
      <c r="O20" s="116" t="str">
        <f t="shared" si="6"/>
        <v xml:space="preserve"> </v>
      </c>
      <c r="P20" s="111"/>
    </row>
    <row r="21" spans="2:16" x14ac:dyDescent="0.25">
      <c r="B21" s="172"/>
      <c r="C21" s="100" t="s">
        <v>195</v>
      </c>
      <c r="D21" t="s">
        <v>284</v>
      </c>
      <c r="E21" s="101"/>
      <c r="F21" s="111" t="str">
        <f t="shared" si="0"/>
        <v xml:space="preserve"> </v>
      </c>
      <c r="G21" s="41">
        <f>Flowchart!AC29</f>
        <v>0</v>
      </c>
      <c r="H21" s="41">
        <f>Flowchart!AE29</f>
        <v>3</v>
      </c>
      <c r="I21" s="41">
        <f>Flowchart!AF29</f>
        <v>0</v>
      </c>
      <c r="J21" s="111" t="str">
        <f t="shared" si="1"/>
        <v xml:space="preserve"> </v>
      </c>
      <c r="K21" s="100" t="str">
        <f t="shared" si="2"/>
        <v xml:space="preserve"> </v>
      </c>
      <c r="L21" s="41" t="str">
        <f t="shared" si="3"/>
        <v xml:space="preserve"> </v>
      </c>
      <c r="M21" s="41" t="str">
        <f t="shared" si="4"/>
        <v xml:space="preserve"> </v>
      </c>
      <c r="N21" s="41" t="str">
        <f t="shared" si="5"/>
        <v xml:space="preserve"> </v>
      </c>
      <c r="O21" s="116" t="str">
        <f t="shared" si="6"/>
        <v xml:space="preserve"> </v>
      </c>
      <c r="P21" s="111"/>
    </row>
    <row r="22" spans="2:16" x14ac:dyDescent="0.25">
      <c r="B22" s="172"/>
      <c r="C22" s="100" t="s">
        <v>34</v>
      </c>
      <c r="D22" t="s">
        <v>285</v>
      </c>
      <c r="E22" s="101"/>
      <c r="F22" s="111" t="str">
        <f t="shared" si="0"/>
        <v xml:space="preserve"> </v>
      </c>
      <c r="G22" s="41">
        <f>Flowchart!AC44</f>
        <v>0</v>
      </c>
      <c r="H22" s="41">
        <f>Flowchart!AE44</f>
        <v>3</v>
      </c>
      <c r="I22" s="41">
        <f>Flowchart!AF44</f>
        <v>0</v>
      </c>
      <c r="J22" s="111" t="str">
        <f t="shared" si="1"/>
        <v xml:space="preserve"> </v>
      </c>
      <c r="K22" s="100" t="str">
        <f t="shared" si="2"/>
        <v xml:space="preserve"> </v>
      </c>
      <c r="L22" s="41" t="str">
        <f t="shared" si="3"/>
        <v xml:space="preserve"> </v>
      </c>
      <c r="M22" s="41" t="str">
        <f t="shared" si="4"/>
        <v xml:space="preserve"> </v>
      </c>
      <c r="N22" s="41" t="str">
        <f t="shared" si="5"/>
        <v xml:space="preserve"> </v>
      </c>
      <c r="O22" s="116" t="str">
        <f t="shared" si="6"/>
        <v xml:space="preserve"> </v>
      </c>
      <c r="P22" s="111"/>
    </row>
    <row r="23" spans="2:16" x14ac:dyDescent="0.25">
      <c r="B23" s="172"/>
      <c r="C23" s="100" t="s">
        <v>26</v>
      </c>
      <c r="D23" t="s">
        <v>379</v>
      </c>
      <c r="E23" s="101"/>
      <c r="F23" s="111" t="str">
        <f t="shared" si="0"/>
        <v xml:space="preserve"> </v>
      </c>
      <c r="G23" s="41">
        <f>Flowchart!AQ34</f>
        <v>0</v>
      </c>
      <c r="H23" s="41">
        <f>Flowchart!AS34</f>
        <v>3</v>
      </c>
      <c r="I23" s="41">
        <f>Flowchart!AT34</f>
        <v>0</v>
      </c>
      <c r="J23" s="111" t="str">
        <f t="shared" si="1"/>
        <v xml:space="preserve"> </v>
      </c>
      <c r="K23" s="100" t="str">
        <f t="shared" si="2"/>
        <v xml:space="preserve"> </v>
      </c>
      <c r="L23" s="41" t="str">
        <f t="shared" si="3"/>
        <v xml:space="preserve"> </v>
      </c>
      <c r="M23" s="41" t="str">
        <f t="shared" si="4"/>
        <v xml:space="preserve"> </v>
      </c>
      <c r="N23" s="41" t="str">
        <f t="shared" si="5"/>
        <v xml:space="preserve"> </v>
      </c>
      <c r="O23" s="116" t="str">
        <f t="shared" si="6"/>
        <v xml:space="preserve"> </v>
      </c>
      <c r="P23" s="111"/>
    </row>
    <row r="24" spans="2:16" x14ac:dyDescent="0.25">
      <c r="B24" s="172"/>
      <c r="C24" s="100" t="s">
        <v>27</v>
      </c>
      <c r="D24" t="s">
        <v>286</v>
      </c>
      <c r="E24" s="101"/>
      <c r="F24" s="111" t="str">
        <f t="shared" si="0"/>
        <v xml:space="preserve"> </v>
      </c>
      <c r="G24" s="41">
        <f>Flowchart!AX39</f>
        <v>0</v>
      </c>
      <c r="H24" s="41">
        <f>Flowchart!AZ39</f>
        <v>3</v>
      </c>
      <c r="I24" s="41">
        <f>Flowchart!BA39</f>
        <v>0</v>
      </c>
      <c r="J24" s="111" t="str">
        <f t="shared" si="1"/>
        <v xml:space="preserve"> </v>
      </c>
      <c r="K24" s="100" t="str">
        <f t="shared" si="2"/>
        <v xml:space="preserve"> </v>
      </c>
      <c r="L24" s="41" t="str">
        <f t="shared" si="3"/>
        <v xml:space="preserve"> </v>
      </c>
      <c r="M24" s="41" t="str">
        <f t="shared" si="4"/>
        <v xml:space="preserve"> </v>
      </c>
      <c r="N24" s="41" t="str">
        <f t="shared" si="5"/>
        <v xml:space="preserve"> </v>
      </c>
      <c r="O24" s="116" t="str">
        <f t="shared" si="6"/>
        <v xml:space="preserve"> </v>
      </c>
      <c r="P24" s="111"/>
    </row>
    <row r="25" spans="2:16" x14ac:dyDescent="0.25">
      <c r="B25" s="172"/>
      <c r="C25" s="100" t="s">
        <v>16</v>
      </c>
      <c r="D25" t="s">
        <v>380</v>
      </c>
      <c r="E25" s="101"/>
      <c r="F25" s="111" t="str">
        <f t="shared" si="0"/>
        <v xml:space="preserve"> </v>
      </c>
      <c r="G25" s="41">
        <f>Flowchart!AJ29</f>
        <v>0</v>
      </c>
      <c r="H25" s="41">
        <f>Flowchart!AL29</f>
        <v>3</v>
      </c>
      <c r="I25" s="41">
        <f>Flowchart!AM29</f>
        <v>0</v>
      </c>
      <c r="J25" s="111" t="str">
        <f t="shared" si="1"/>
        <v xml:space="preserve"> </v>
      </c>
      <c r="K25" s="100" t="str">
        <f t="shared" si="2"/>
        <v xml:space="preserve"> </v>
      </c>
      <c r="L25" s="41" t="str">
        <f t="shared" si="3"/>
        <v xml:space="preserve"> </v>
      </c>
      <c r="M25" s="41" t="str">
        <f t="shared" si="4"/>
        <v xml:space="preserve"> </v>
      </c>
      <c r="N25" s="41" t="str">
        <f t="shared" si="5"/>
        <v xml:space="preserve"> </v>
      </c>
      <c r="O25" s="116" t="str">
        <f t="shared" si="6"/>
        <v xml:space="preserve"> </v>
      </c>
      <c r="P25" s="111"/>
    </row>
    <row r="26" spans="2:16" x14ac:dyDescent="0.25">
      <c r="B26" s="172"/>
      <c r="C26" s="100" t="s">
        <v>31</v>
      </c>
      <c r="D26" t="s">
        <v>287</v>
      </c>
      <c r="E26" s="101"/>
      <c r="F26" s="111" t="str">
        <f t="shared" si="0"/>
        <v xml:space="preserve"> </v>
      </c>
      <c r="G26" s="41">
        <f>Flowchart!AQ39</f>
        <v>0</v>
      </c>
      <c r="H26" s="41">
        <f>Flowchart!AS39</f>
        <v>3</v>
      </c>
      <c r="I26" s="41">
        <f>Flowchart!AT39</f>
        <v>0</v>
      </c>
      <c r="J26" s="111" t="str">
        <f t="shared" si="1"/>
        <v xml:space="preserve"> </v>
      </c>
      <c r="K26" s="100" t="str">
        <f t="shared" si="2"/>
        <v xml:space="preserve"> </v>
      </c>
      <c r="L26" s="41" t="str">
        <f t="shared" si="3"/>
        <v xml:space="preserve"> </v>
      </c>
      <c r="M26" s="41" t="str">
        <f t="shared" si="4"/>
        <v xml:space="preserve"> </v>
      </c>
      <c r="N26" s="41" t="str">
        <f t="shared" si="5"/>
        <v xml:space="preserve"> </v>
      </c>
      <c r="O26" s="116" t="str">
        <f t="shared" si="6"/>
        <v xml:space="preserve"> </v>
      </c>
      <c r="P26" s="111"/>
    </row>
    <row r="27" spans="2:16" x14ac:dyDescent="0.25">
      <c r="B27" s="172"/>
      <c r="C27" s="100" t="s">
        <v>40</v>
      </c>
      <c r="D27" t="s">
        <v>288</v>
      </c>
      <c r="E27" s="101"/>
      <c r="F27" s="111" t="str">
        <f t="shared" si="0"/>
        <v xml:space="preserve"> </v>
      </c>
      <c r="G27" s="41">
        <f>Flowchart!AX24</f>
        <v>0</v>
      </c>
      <c r="H27" s="41">
        <f>Flowchart!AZ24</f>
        <v>3</v>
      </c>
      <c r="I27" s="41">
        <f>Flowchart!BA24</f>
        <v>0</v>
      </c>
      <c r="J27" s="111" t="str">
        <f t="shared" si="1"/>
        <v xml:space="preserve"> </v>
      </c>
      <c r="K27" s="100" t="str">
        <f t="shared" si="2"/>
        <v xml:space="preserve"> </v>
      </c>
      <c r="L27" s="41" t="str">
        <f t="shared" si="3"/>
        <v xml:space="preserve"> </v>
      </c>
      <c r="M27" s="41" t="str">
        <f t="shared" si="4"/>
        <v xml:space="preserve"> </v>
      </c>
      <c r="N27" s="41" t="str">
        <f t="shared" si="5"/>
        <v xml:space="preserve"> </v>
      </c>
      <c r="O27" s="116" t="str">
        <f t="shared" si="6"/>
        <v xml:space="preserve"> </v>
      </c>
      <c r="P27" s="111"/>
    </row>
    <row r="28" spans="2:16" x14ac:dyDescent="0.25">
      <c r="B28" s="172"/>
      <c r="C28" s="100" t="s">
        <v>218</v>
      </c>
      <c r="D28" t="s">
        <v>386</v>
      </c>
      <c r="E28" s="101"/>
      <c r="F28" s="111" t="str">
        <f t="shared" si="0"/>
        <v xml:space="preserve"> </v>
      </c>
      <c r="G28" s="41">
        <f>Flowchart!AQ44</f>
        <v>0</v>
      </c>
      <c r="H28" s="41">
        <f>Flowchart!AS44</f>
        <v>0</v>
      </c>
      <c r="I28" s="41">
        <f>Flowchart!AT44</f>
        <v>0</v>
      </c>
      <c r="J28" s="111" t="str">
        <f t="shared" si="1"/>
        <v xml:space="preserve"> </v>
      </c>
      <c r="K28" s="100" t="str">
        <f t="shared" si="2"/>
        <v xml:space="preserve"> </v>
      </c>
      <c r="L28" s="41" t="str">
        <f t="shared" si="3"/>
        <v xml:space="preserve"> </v>
      </c>
      <c r="M28" s="41" t="str">
        <f t="shared" si="4"/>
        <v xml:space="preserve"> </v>
      </c>
      <c r="N28" s="41" t="str">
        <f t="shared" si="5"/>
        <v xml:space="preserve"> </v>
      </c>
      <c r="O28" s="116" t="str">
        <f t="shared" si="6"/>
        <v xml:space="preserve"> </v>
      </c>
      <c r="P28" s="111"/>
    </row>
    <row r="29" spans="2:16" ht="7.9" customHeight="1" x14ac:dyDescent="0.25">
      <c r="B29" s="93"/>
      <c r="C29" s="102"/>
      <c r="D29" s="103"/>
      <c r="E29" s="104"/>
      <c r="F29" s="112" t="str">
        <f t="shared" si="0"/>
        <v xml:space="preserve"> </v>
      </c>
      <c r="G29" s="86"/>
      <c r="H29" s="86"/>
      <c r="I29" s="86"/>
      <c r="J29" s="112" t="str">
        <f t="shared" si="1"/>
        <v xml:space="preserve"> </v>
      </c>
      <c r="K29" s="102" t="str">
        <f t="shared" si="2"/>
        <v xml:space="preserve"> </v>
      </c>
      <c r="L29" s="86" t="str">
        <f t="shared" si="3"/>
        <v xml:space="preserve"> </v>
      </c>
      <c r="M29" s="86" t="str">
        <f t="shared" si="4"/>
        <v xml:space="preserve"> </v>
      </c>
      <c r="N29" s="86" t="str">
        <f t="shared" si="5"/>
        <v xml:space="preserve"> </v>
      </c>
      <c r="O29" s="117" t="str">
        <f t="shared" si="6"/>
        <v xml:space="preserve"> </v>
      </c>
      <c r="P29" s="112"/>
    </row>
    <row r="30" spans="2:16" x14ac:dyDescent="0.25">
      <c r="B30" s="170" t="s">
        <v>311</v>
      </c>
      <c r="C30" s="100" t="str">
        <f>Flowchart!AQ22</f>
        <v>Civil Elective 1</v>
      </c>
      <c r="D30" t="s">
        <v>231</v>
      </c>
      <c r="E30" s="101"/>
      <c r="F30" s="111" t="str">
        <f t="shared" si="0"/>
        <v xml:space="preserve"> </v>
      </c>
      <c r="G30" s="41">
        <f>Flowchart!AQ24</f>
        <v>0</v>
      </c>
      <c r="H30" s="41">
        <f>Flowchart!AS24</f>
        <v>3</v>
      </c>
      <c r="I30" s="41">
        <f>Flowchart!AT24</f>
        <v>0</v>
      </c>
      <c r="J30" s="111" t="str">
        <f t="shared" si="1"/>
        <v xml:space="preserve"> </v>
      </c>
      <c r="K30" s="100" t="str">
        <f t="shared" si="2"/>
        <v xml:space="preserve"> </v>
      </c>
      <c r="L30" s="41" t="str">
        <f t="shared" si="3"/>
        <v xml:space="preserve"> </v>
      </c>
      <c r="M30" s="41" t="str">
        <f t="shared" si="4"/>
        <v xml:space="preserve"> </v>
      </c>
      <c r="N30" s="41" t="str">
        <f t="shared" si="5"/>
        <v xml:space="preserve"> </v>
      </c>
      <c r="O30" s="116" t="str">
        <f t="shared" si="6"/>
        <v xml:space="preserve"> </v>
      </c>
      <c r="P30" s="111"/>
    </row>
    <row r="31" spans="2:16" x14ac:dyDescent="0.25">
      <c r="B31" s="170"/>
      <c r="C31" s="100" t="str">
        <f>Flowchart!AX32</f>
        <v>Civil Elective 2</v>
      </c>
      <c r="D31" t="s">
        <v>232</v>
      </c>
      <c r="E31" s="101"/>
      <c r="F31" s="111" t="str">
        <f t="shared" si="0"/>
        <v xml:space="preserve"> </v>
      </c>
      <c r="G31" s="41">
        <f>Flowchart!AX34</f>
        <v>0</v>
      </c>
      <c r="H31" s="41">
        <f>Flowchart!AZ34</f>
        <v>3</v>
      </c>
      <c r="I31" s="41">
        <f>Flowchart!BA34</f>
        <v>0</v>
      </c>
      <c r="J31" s="111" t="str">
        <f t="shared" si="1"/>
        <v xml:space="preserve"> </v>
      </c>
      <c r="K31" s="100" t="str">
        <f t="shared" si="2"/>
        <v xml:space="preserve"> </v>
      </c>
      <c r="L31" s="41" t="str">
        <f t="shared" si="3"/>
        <v xml:space="preserve"> </v>
      </c>
      <c r="M31" s="41" t="str">
        <f t="shared" si="4"/>
        <v xml:space="preserve"> </v>
      </c>
      <c r="N31" s="41" t="str">
        <f t="shared" si="5"/>
        <v xml:space="preserve"> </v>
      </c>
      <c r="O31" s="116" t="str">
        <f t="shared" si="6"/>
        <v xml:space="preserve"> </v>
      </c>
      <c r="P31" s="111"/>
    </row>
    <row r="32" spans="2:16" x14ac:dyDescent="0.25">
      <c r="B32" s="170"/>
      <c r="C32" s="100" t="str">
        <f>Flowchart!AX47</f>
        <v>CVEG 4XXX</v>
      </c>
      <c r="D32" t="s">
        <v>230</v>
      </c>
      <c r="E32" s="101"/>
      <c r="F32" s="111" t="str">
        <f t="shared" si="0"/>
        <v xml:space="preserve"> </v>
      </c>
      <c r="G32" s="41">
        <f>Flowchart!AX49</f>
        <v>0</v>
      </c>
      <c r="H32" s="41">
        <f>Flowchart!AZ49</f>
        <v>3</v>
      </c>
      <c r="I32" s="41">
        <f>Flowchart!BA49</f>
        <v>0</v>
      </c>
      <c r="J32" s="111" t="str">
        <f t="shared" si="1"/>
        <v xml:space="preserve"> </v>
      </c>
      <c r="K32" s="100" t="str">
        <f t="shared" si="2"/>
        <v xml:space="preserve"> </v>
      </c>
      <c r="L32" s="41" t="str">
        <f t="shared" si="3"/>
        <v xml:space="preserve"> </v>
      </c>
      <c r="M32" s="41" t="str">
        <f t="shared" si="4"/>
        <v xml:space="preserve"> </v>
      </c>
      <c r="N32" s="41" t="str">
        <f t="shared" si="5"/>
        <v xml:space="preserve"> </v>
      </c>
      <c r="O32" s="116" t="str">
        <f t="shared" si="6"/>
        <v xml:space="preserve"> </v>
      </c>
      <c r="P32" s="111"/>
    </row>
    <row r="33" spans="2:16" x14ac:dyDescent="0.25">
      <c r="B33" s="170"/>
      <c r="C33" s="100" t="str">
        <f>VLOOKUP(Flowchart!AQ28,Page3!A32:B36,2)</f>
        <v>Project Elective 1</v>
      </c>
      <c r="D33" t="s">
        <v>289</v>
      </c>
      <c r="E33" s="101"/>
      <c r="F33" s="111" t="str">
        <f t="shared" si="0"/>
        <v xml:space="preserve"> </v>
      </c>
      <c r="G33" s="41">
        <f>Flowchart!AQ29</f>
        <v>0</v>
      </c>
      <c r="H33" s="41">
        <f>Flowchart!AS29</f>
        <v>2</v>
      </c>
      <c r="I33" s="41">
        <f>Flowchart!AT29</f>
        <v>0</v>
      </c>
      <c r="J33" s="111" t="str">
        <f t="shared" si="1"/>
        <v xml:space="preserve"> </v>
      </c>
      <c r="K33" s="100" t="str">
        <f t="shared" si="2"/>
        <v xml:space="preserve"> </v>
      </c>
      <c r="L33" s="41" t="str">
        <f t="shared" si="3"/>
        <v xml:space="preserve"> </v>
      </c>
      <c r="M33" s="41" t="str">
        <f t="shared" si="4"/>
        <v xml:space="preserve"> </v>
      </c>
      <c r="N33" s="41" t="str">
        <f t="shared" si="5"/>
        <v xml:space="preserve"> </v>
      </c>
      <c r="O33" s="116" t="str">
        <f t="shared" si="6"/>
        <v xml:space="preserve"> </v>
      </c>
      <c r="P33" s="111"/>
    </row>
    <row r="34" spans="2:16" x14ac:dyDescent="0.25">
      <c r="B34" s="170"/>
      <c r="C34" s="100" t="str">
        <f>VLOOKUP(Flowchart!AX28,Page3!A38:B42,2)</f>
        <v>Project Elective 2</v>
      </c>
      <c r="D34" t="s">
        <v>290</v>
      </c>
      <c r="E34" s="101"/>
      <c r="F34" s="111" t="str">
        <f t="shared" si="0"/>
        <v xml:space="preserve"> </v>
      </c>
      <c r="G34" s="41">
        <f>Flowchart!AX29</f>
        <v>0</v>
      </c>
      <c r="H34" s="41">
        <f>Flowchart!AZ29</f>
        <v>2</v>
      </c>
      <c r="I34" s="41">
        <f>Flowchart!BA29</f>
        <v>0</v>
      </c>
      <c r="J34" s="111" t="str">
        <f t="shared" si="1"/>
        <v xml:space="preserve"> </v>
      </c>
      <c r="K34" s="100" t="str">
        <f t="shared" si="2"/>
        <v xml:space="preserve"> </v>
      </c>
      <c r="L34" s="41" t="str">
        <f t="shared" si="3"/>
        <v xml:space="preserve"> </v>
      </c>
      <c r="M34" s="41" t="str">
        <f t="shared" si="4"/>
        <v xml:space="preserve"> </v>
      </c>
      <c r="N34" s="41" t="str">
        <f t="shared" si="5"/>
        <v xml:space="preserve"> </v>
      </c>
      <c r="O34" s="116" t="str">
        <f t="shared" si="6"/>
        <v xml:space="preserve"> </v>
      </c>
      <c r="P34" s="111"/>
    </row>
    <row r="35" spans="2:16" ht="7.9" customHeight="1" x14ac:dyDescent="0.25">
      <c r="B35" s="93"/>
      <c r="C35" s="102"/>
      <c r="D35" s="103"/>
      <c r="E35" s="104"/>
      <c r="F35" s="112" t="str">
        <f t="shared" si="0"/>
        <v xml:space="preserve"> </v>
      </c>
      <c r="G35" s="86"/>
      <c r="H35" s="86"/>
      <c r="I35" s="86"/>
      <c r="J35" s="112" t="str">
        <f t="shared" si="1"/>
        <v xml:space="preserve"> </v>
      </c>
      <c r="K35" s="102" t="str">
        <f t="shared" si="2"/>
        <v xml:space="preserve"> </v>
      </c>
      <c r="L35" s="86" t="str">
        <f t="shared" si="3"/>
        <v xml:space="preserve"> </v>
      </c>
      <c r="M35" s="86" t="str">
        <f t="shared" si="4"/>
        <v xml:space="preserve"> </v>
      </c>
      <c r="N35" s="86" t="str">
        <f t="shared" si="5"/>
        <v xml:space="preserve"> </v>
      </c>
      <c r="O35" s="117" t="str">
        <f t="shared" si="6"/>
        <v xml:space="preserve"> </v>
      </c>
      <c r="P35" s="112"/>
    </row>
    <row r="36" spans="2:16" x14ac:dyDescent="0.25">
      <c r="B36" s="170" t="s">
        <v>312</v>
      </c>
      <c r="C36" s="100" t="s">
        <v>258</v>
      </c>
      <c r="D36" t="s">
        <v>291</v>
      </c>
      <c r="E36" s="101"/>
      <c r="F36" s="111" t="str">
        <f t="shared" si="0"/>
        <v xml:space="preserve"> </v>
      </c>
      <c r="G36" s="41">
        <f>Flowchart!A29</f>
        <v>0</v>
      </c>
      <c r="H36" s="41">
        <f>Flowchart!C29</f>
        <v>1</v>
      </c>
      <c r="I36" s="41">
        <f>Flowchart!D29</f>
        <v>0</v>
      </c>
      <c r="J36" s="111" t="str">
        <f t="shared" si="1"/>
        <v xml:space="preserve"> </v>
      </c>
      <c r="K36" s="100" t="str">
        <f t="shared" si="2"/>
        <v xml:space="preserve"> </v>
      </c>
      <c r="L36" s="41" t="str">
        <f t="shared" si="3"/>
        <v xml:space="preserve"> </v>
      </c>
      <c r="M36" s="41" t="str">
        <f t="shared" si="4"/>
        <v xml:space="preserve"> </v>
      </c>
      <c r="N36" s="41" t="str">
        <f t="shared" si="5"/>
        <v xml:space="preserve"> </v>
      </c>
      <c r="O36" s="116" t="str">
        <f t="shared" si="6"/>
        <v xml:space="preserve"> </v>
      </c>
      <c r="P36" s="111"/>
    </row>
    <row r="37" spans="2:16" x14ac:dyDescent="0.25">
      <c r="B37" s="170"/>
      <c r="C37" s="100" t="s">
        <v>19</v>
      </c>
      <c r="D37" t="s">
        <v>292</v>
      </c>
      <c r="E37" s="101"/>
      <c r="F37" s="111" t="str">
        <f t="shared" si="0"/>
        <v xml:space="preserve"> </v>
      </c>
      <c r="G37" s="41">
        <f>Flowchart!H34</f>
        <v>0</v>
      </c>
      <c r="H37" s="41">
        <f>Flowchart!J34</f>
        <v>1</v>
      </c>
      <c r="I37" s="41">
        <f>Flowchart!K34</f>
        <v>0</v>
      </c>
      <c r="J37" s="111" t="str">
        <f t="shared" si="1"/>
        <v xml:space="preserve"> </v>
      </c>
      <c r="K37" s="100" t="str">
        <f t="shared" si="2"/>
        <v xml:space="preserve"> </v>
      </c>
      <c r="L37" s="41" t="str">
        <f t="shared" si="3"/>
        <v xml:space="preserve"> </v>
      </c>
      <c r="M37" s="41" t="str">
        <f t="shared" si="4"/>
        <v xml:space="preserve"> </v>
      </c>
      <c r="N37" s="41" t="str">
        <f t="shared" si="5"/>
        <v xml:space="preserve"> </v>
      </c>
      <c r="O37" s="116" t="str">
        <f t="shared" si="6"/>
        <v xml:space="preserve"> </v>
      </c>
      <c r="P37" s="111"/>
    </row>
    <row r="38" spans="2:16" x14ac:dyDescent="0.25">
      <c r="B38" s="170"/>
      <c r="C38" s="100" t="s">
        <v>10</v>
      </c>
      <c r="D38" t="s">
        <v>385</v>
      </c>
      <c r="E38" s="101"/>
      <c r="F38" s="111" t="str">
        <f t="shared" si="0"/>
        <v xml:space="preserve"> </v>
      </c>
      <c r="G38" s="41">
        <f>Flowchart!AC24</f>
        <v>0</v>
      </c>
      <c r="H38" s="41">
        <f>Flowchart!AE24</f>
        <v>3</v>
      </c>
      <c r="I38" s="41">
        <f>Flowchart!AF24</f>
        <v>0</v>
      </c>
      <c r="J38" s="111" t="str">
        <f t="shared" si="1"/>
        <v xml:space="preserve"> </v>
      </c>
      <c r="K38" s="100" t="str">
        <f t="shared" si="2"/>
        <v xml:space="preserve"> </v>
      </c>
      <c r="L38" s="41" t="str">
        <f t="shared" si="3"/>
        <v xml:space="preserve"> </v>
      </c>
      <c r="M38" s="41" t="str">
        <f t="shared" si="4"/>
        <v xml:space="preserve"> </v>
      </c>
      <c r="N38" s="41" t="str">
        <f t="shared" si="5"/>
        <v xml:space="preserve"> </v>
      </c>
      <c r="O38" s="116" t="str">
        <f t="shared" si="6"/>
        <v xml:space="preserve"> </v>
      </c>
      <c r="P38" s="111"/>
    </row>
    <row r="39" spans="2:16" x14ac:dyDescent="0.25">
      <c r="B39" s="170"/>
      <c r="C39" s="100" t="s">
        <v>260</v>
      </c>
      <c r="D39" t="s">
        <v>381</v>
      </c>
      <c r="E39" s="101"/>
      <c r="F39" s="111" t="str">
        <f t="shared" si="0"/>
        <v xml:space="preserve"> </v>
      </c>
      <c r="G39" s="41">
        <f>Flowchart!V39</f>
        <v>0</v>
      </c>
      <c r="H39" s="41">
        <f>Flowchart!X39</f>
        <v>3</v>
      </c>
      <c r="I39" s="41">
        <f>Flowchart!Y39</f>
        <v>0</v>
      </c>
      <c r="J39" s="111" t="str">
        <f t="shared" si="1"/>
        <v xml:space="preserve"> </v>
      </c>
      <c r="K39" s="100" t="str">
        <f t="shared" si="2"/>
        <v xml:space="preserve"> </v>
      </c>
      <c r="L39" s="41" t="str">
        <f t="shared" si="3"/>
        <v xml:space="preserve"> </v>
      </c>
      <c r="M39" s="41" t="str">
        <f t="shared" si="4"/>
        <v xml:space="preserve"> </v>
      </c>
      <c r="N39" s="41" t="str">
        <f t="shared" si="5"/>
        <v xml:space="preserve"> </v>
      </c>
      <c r="O39" s="116" t="str">
        <f t="shared" si="6"/>
        <v xml:space="preserve"> </v>
      </c>
      <c r="P39" s="111"/>
    </row>
    <row r="40" spans="2:16" ht="7.9" customHeight="1" x14ac:dyDescent="0.25">
      <c r="B40" s="94"/>
      <c r="C40" s="102"/>
      <c r="D40" s="103"/>
      <c r="E40" s="104"/>
      <c r="F40" s="112" t="str">
        <f t="shared" si="0"/>
        <v xml:space="preserve"> </v>
      </c>
      <c r="G40" s="86"/>
      <c r="H40" s="86"/>
      <c r="I40" s="86"/>
      <c r="J40" s="112" t="str">
        <f t="shared" si="1"/>
        <v xml:space="preserve"> </v>
      </c>
      <c r="K40" s="102" t="str">
        <f t="shared" si="2"/>
        <v xml:space="preserve"> </v>
      </c>
      <c r="L40" s="86" t="str">
        <f t="shared" si="3"/>
        <v xml:space="preserve"> </v>
      </c>
      <c r="M40" s="86" t="str">
        <f t="shared" si="4"/>
        <v xml:space="preserve"> </v>
      </c>
      <c r="N40" s="86" t="str">
        <f t="shared" si="5"/>
        <v xml:space="preserve"> </v>
      </c>
      <c r="O40" s="117" t="str">
        <f t="shared" si="6"/>
        <v xml:space="preserve"> </v>
      </c>
      <c r="P40" s="112"/>
    </row>
    <row r="41" spans="2:16" x14ac:dyDescent="0.25">
      <c r="B41" s="170" t="s">
        <v>313</v>
      </c>
      <c r="C41" s="100" t="s">
        <v>33</v>
      </c>
      <c r="D41" t="s">
        <v>293</v>
      </c>
      <c r="E41" s="101"/>
      <c r="F41" s="111" t="str">
        <f t="shared" si="0"/>
        <v xml:space="preserve"> </v>
      </c>
      <c r="G41" s="41">
        <f>Flowchart!A49</f>
        <v>0</v>
      </c>
      <c r="H41" s="41">
        <f>Flowchart!C49</f>
        <v>3</v>
      </c>
      <c r="I41" s="41">
        <f>Flowchart!D49</f>
        <v>0</v>
      </c>
      <c r="J41" s="111" t="str">
        <f t="shared" si="1"/>
        <v xml:space="preserve"> </v>
      </c>
      <c r="K41" s="100" t="str">
        <f t="shared" si="2"/>
        <v xml:space="preserve"> </v>
      </c>
      <c r="L41" s="41" t="str">
        <f t="shared" si="3"/>
        <v xml:space="preserve"> </v>
      </c>
      <c r="M41" s="41" t="str">
        <f t="shared" si="4"/>
        <v xml:space="preserve"> </v>
      </c>
      <c r="N41" s="41" t="str">
        <f t="shared" si="5"/>
        <v xml:space="preserve"> </v>
      </c>
      <c r="O41" s="116" t="str">
        <f t="shared" si="6"/>
        <v xml:space="preserve"> </v>
      </c>
      <c r="P41" s="111"/>
    </row>
    <row r="42" spans="2:16" x14ac:dyDescent="0.25">
      <c r="B42" s="170"/>
      <c r="C42" s="100" t="s">
        <v>211</v>
      </c>
      <c r="D42" t="s">
        <v>294</v>
      </c>
      <c r="E42" s="101"/>
      <c r="F42" s="111" t="str">
        <f t="shared" si="0"/>
        <v xml:space="preserve"> </v>
      </c>
      <c r="G42" s="41">
        <f>Flowchart!H49</f>
        <v>0</v>
      </c>
      <c r="H42" s="41">
        <f>Flowchart!J49</f>
        <v>3</v>
      </c>
      <c r="I42" s="41">
        <f>Flowchart!K49</f>
        <v>0</v>
      </c>
      <c r="J42" s="111" t="str">
        <f t="shared" si="1"/>
        <v xml:space="preserve"> </v>
      </c>
      <c r="K42" s="100" t="str">
        <f t="shared" si="2"/>
        <v xml:space="preserve"> </v>
      </c>
      <c r="L42" s="41" t="str">
        <f t="shared" si="3"/>
        <v xml:space="preserve"> </v>
      </c>
      <c r="M42" s="41" t="str">
        <f t="shared" si="4"/>
        <v xml:space="preserve"> </v>
      </c>
      <c r="N42" s="41" t="str">
        <f t="shared" si="5"/>
        <v xml:space="preserve"> </v>
      </c>
      <c r="O42" s="116" t="str">
        <f t="shared" si="6"/>
        <v xml:space="preserve"> </v>
      </c>
      <c r="P42" s="111"/>
    </row>
    <row r="43" spans="2:16" x14ac:dyDescent="0.25">
      <c r="B43" s="170"/>
      <c r="C43" s="100" t="s">
        <v>8</v>
      </c>
      <c r="D43" t="s">
        <v>295</v>
      </c>
      <c r="E43" s="101"/>
      <c r="F43" s="111" t="str">
        <f t="shared" si="0"/>
        <v xml:space="preserve"> </v>
      </c>
      <c r="G43" s="41">
        <f>Flowchart!A24</f>
        <v>0</v>
      </c>
      <c r="H43" s="41">
        <f>Flowchart!C24</f>
        <v>4</v>
      </c>
      <c r="I43" s="41">
        <f>Flowchart!D24</f>
        <v>0</v>
      </c>
      <c r="J43" s="111" t="str">
        <f t="shared" si="1"/>
        <v xml:space="preserve"> </v>
      </c>
      <c r="K43" s="100" t="str">
        <f t="shared" si="2"/>
        <v xml:space="preserve"> </v>
      </c>
      <c r="L43" s="41" t="str">
        <f t="shared" si="3"/>
        <v xml:space="preserve"> </v>
      </c>
      <c r="M43" s="41" t="str">
        <f t="shared" si="4"/>
        <v xml:space="preserve"> </v>
      </c>
      <c r="N43" s="41" t="str">
        <f t="shared" si="5"/>
        <v xml:space="preserve"> </v>
      </c>
      <c r="O43" s="116" t="str">
        <f t="shared" si="6"/>
        <v xml:space="preserve"> </v>
      </c>
      <c r="P43" s="111"/>
    </row>
    <row r="44" spans="2:16" x14ac:dyDescent="0.25">
      <c r="B44" s="170"/>
      <c r="C44" s="100" t="s">
        <v>9</v>
      </c>
      <c r="D44" t="s">
        <v>296</v>
      </c>
      <c r="E44" s="101"/>
      <c r="F44" s="111" t="str">
        <f t="shared" si="0"/>
        <v xml:space="preserve"> </v>
      </c>
      <c r="G44" s="41">
        <f>Flowchart!H24</f>
        <v>0</v>
      </c>
      <c r="H44" s="41">
        <f>Flowchart!J24</f>
        <v>4</v>
      </c>
      <c r="I44" s="41">
        <f>Flowchart!K24</f>
        <v>0</v>
      </c>
      <c r="J44" s="111" t="str">
        <f t="shared" si="1"/>
        <v xml:space="preserve"> </v>
      </c>
      <c r="K44" s="100" t="str">
        <f t="shared" si="2"/>
        <v xml:space="preserve"> </v>
      </c>
      <c r="L44" s="41" t="str">
        <f t="shared" si="3"/>
        <v xml:space="preserve"> </v>
      </c>
      <c r="M44" s="41" t="str">
        <f t="shared" si="4"/>
        <v xml:space="preserve"> </v>
      </c>
      <c r="N44" s="41" t="str">
        <f t="shared" si="5"/>
        <v xml:space="preserve"> </v>
      </c>
      <c r="O44" s="116" t="str">
        <f t="shared" si="6"/>
        <v xml:space="preserve"> </v>
      </c>
      <c r="P44" s="111"/>
    </row>
    <row r="45" spans="2:16" x14ac:dyDescent="0.25">
      <c r="B45" s="170"/>
      <c r="C45" s="100" t="s">
        <v>191</v>
      </c>
      <c r="D45" t="s">
        <v>297</v>
      </c>
      <c r="E45" s="101"/>
      <c r="F45" s="111" t="str">
        <f t="shared" si="0"/>
        <v xml:space="preserve"> </v>
      </c>
      <c r="G45" s="41">
        <f>Flowchart!O24</f>
        <v>0</v>
      </c>
      <c r="H45" s="41">
        <f>Flowchart!Q24</f>
        <v>4</v>
      </c>
      <c r="I45" s="41">
        <f>Flowchart!R24</f>
        <v>0</v>
      </c>
      <c r="J45" s="111" t="str">
        <f t="shared" si="1"/>
        <v xml:space="preserve"> </v>
      </c>
      <c r="K45" s="100" t="str">
        <f t="shared" si="2"/>
        <v xml:space="preserve"> </v>
      </c>
      <c r="L45" s="41" t="str">
        <f t="shared" si="3"/>
        <v xml:space="preserve"> </v>
      </c>
      <c r="M45" s="41" t="str">
        <f t="shared" si="4"/>
        <v xml:space="preserve"> </v>
      </c>
      <c r="N45" s="41" t="str">
        <f t="shared" si="5"/>
        <v xml:space="preserve"> </v>
      </c>
      <c r="O45" s="116" t="str">
        <f t="shared" si="6"/>
        <v xml:space="preserve"> </v>
      </c>
      <c r="P45" s="111"/>
    </row>
    <row r="46" spans="2:16" x14ac:dyDescent="0.25">
      <c r="B46" s="170"/>
      <c r="C46" s="100" t="s">
        <v>93</v>
      </c>
      <c r="D46" t="s">
        <v>382</v>
      </c>
      <c r="E46" s="101"/>
      <c r="F46" s="111" t="str">
        <f t="shared" si="0"/>
        <v xml:space="preserve"> </v>
      </c>
      <c r="G46" s="41">
        <f>Flowchart!V24</f>
        <v>0</v>
      </c>
      <c r="H46" s="41">
        <f>Flowchart!X24</f>
        <v>4</v>
      </c>
      <c r="I46" s="41">
        <f>Flowchart!Y24</f>
        <v>0</v>
      </c>
      <c r="J46" s="111" t="str">
        <f t="shared" si="1"/>
        <v xml:space="preserve"> </v>
      </c>
      <c r="K46" s="100" t="str">
        <f t="shared" si="2"/>
        <v xml:space="preserve"> </v>
      </c>
      <c r="L46" s="41" t="str">
        <f t="shared" si="3"/>
        <v xml:space="preserve"> </v>
      </c>
      <c r="M46" s="41" t="str">
        <f t="shared" si="4"/>
        <v xml:space="preserve"> </v>
      </c>
      <c r="N46" s="41" t="str">
        <f t="shared" si="5"/>
        <v xml:space="preserve"> </v>
      </c>
      <c r="O46" s="116" t="str">
        <f t="shared" si="6"/>
        <v xml:space="preserve"> </v>
      </c>
      <c r="P46" s="111"/>
    </row>
    <row r="47" spans="2:16" x14ac:dyDescent="0.25">
      <c r="B47" s="170"/>
      <c r="C47" s="100" t="s">
        <v>193</v>
      </c>
      <c r="D47" t="s">
        <v>298</v>
      </c>
      <c r="E47" s="101"/>
      <c r="F47" s="111" t="str">
        <f t="shared" si="0"/>
        <v xml:space="preserve"> </v>
      </c>
      <c r="G47" s="41">
        <f>Flowchart!A34</f>
        <v>0</v>
      </c>
      <c r="H47" s="41">
        <f>Flowchart!C34</f>
        <v>3</v>
      </c>
      <c r="I47" s="41">
        <f>Flowchart!D34</f>
        <v>0</v>
      </c>
      <c r="J47" s="111" t="str">
        <f t="shared" si="1"/>
        <v xml:space="preserve"> </v>
      </c>
      <c r="K47" s="100" t="str">
        <f t="shared" si="2"/>
        <v xml:space="preserve"> </v>
      </c>
      <c r="L47" s="41" t="str">
        <f t="shared" si="3"/>
        <v xml:space="preserve"> </v>
      </c>
      <c r="M47" s="41" t="str">
        <f t="shared" si="4"/>
        <v xml:space="preserve"> </v>
      </c>
      <c r="N47" s="41" t="str">
        <f t="shared" si="5"/>
        <v xml:space="preserve"> </v>
      </c>
      <c r="O47" s="116" t="str">
        <f t="shared" si="6"/>
        <v xml:space="preserve"> </v>
      </c>
      <c r="P47" s="111"/>
    </row>
    <row r="48" spans="2:16" x14ac:dyDescent="0.25">
      <c r="B48" s="170"/>
      <c r="C48" s="100" t="s">
        <v>213</v>
      </c>
      <c r="D48" t="s">
        <v>299</v>
      </c>
      <c r="E48" s="101"/>
      <c r="F48" s="111" t="str">
        <f t="shared" si="0"/>
        <v xml:space="preserve"> </v>
      </c>
      <c r="G48" s="41">
        <f>Flowchart!A39</f>
        <v>0</v>
      </c>
      <c r="H48" s="41">
        <f>Flowchart!C39</f>
        <v>1</v>
      </c>
      <c r="I48" s="41">
        <f>Flowchart!D39</f>
        <v>0</v>
      </c>
      <c r="J48" s="111" t="str">
        <f t="shared" si="1"/>
        <v xml:space="preserve"> </v>
      </c>
      <c r="K48" s="100" t="str">
        <f t="shared" si="2"/>
        <v xml:space="preserve"> </v>
      </c>
      <c r="L48" s="41" t="str">
        <f t="shared" si="3"/>
        <v xml:space="preserve"> </v>
      </c>
      <c r="M48" s="41" t="str">
        <f t="shared" si="4"/>
        <v xml:space="preserve"> </v>
      </c>
      <c r="N48" s="41" t="str">
        <f t="shared" si="5"/>
        <v xml:space="preserve"> </v>
      </c>
      <c r="O48" s="116" t="str">
        <f t="shared" si="6"/>
        <v xml:space="preserve"> </v>
      </c>
      <c r="P48" s="111"/>
    </row>
    <row r="49" spans="2:21" x14ac:dyDescent="0.25">
      <c r="B49" s="170"/>
      <c r="C49" s="100" t="s">
        <v>190</v>
      </c>
      <c r="D49" t="s">
        <v>300</v>
      </c>
      <c r="E49" s="101"/>
      <c r="F49" s="111" t="str">
        <f t="shared" si="0"/>
        <v xml:space="preserve"> </v>
      </c>
      <c r="G49" s="41">
        <f>Flowchart!A44</f>
        <v>0</v>
      </c>
      <c r="H49" s="41">
        <f>Flowchart!C44</f>
        <v>3</v>
      </c>
      <c r="I49" s="41">
        <f>Flowchart!D44</f>
        <v>0</v>
      </c>
      <c r="J49" s="111" t="str">
        <f t="shared" si="1"/>
        <v xml:space="preserve"> </v>
      </c>
      <c r="K49" s="100" t="str">
        <f t="shared" si="2"/>
        <v xml:space="preserve"> </v>
      </c>
      <c r="L49" s="41" t="str">
        <f t="shared" si="3"/>
        <v xml:space="preserve"> </v>
      </c>
      <c r="M49" s="41" t="str">
        <f t="shared" si="4"/>
        <v xml:space="preserve"> </v>
      </c>
      <c r="N49" s="41" t="str">
        <f t="shared" si="5"/>
        <v xml:space="preserve"> </v>
      </c>
      <c r="O49" s="116" t="str">
        <f t="shared" si="6"/>
        <v xml:space="preserve"> </v>
      </c>
      <c r="P49" s="111"/>
    </row>
    <row r="50" spans="2:21" x14ac:dyDescent="0.25">
      <c r="B50" s="170"/>
      <c r="C50" s="100" t="s">
        <v>14</v>
      </c>
      <c r="D50" t="s">
        <v>301</v>
      </c>
      <c r="E50" s="101"/>
      <c r="F50" s="111" t="str">
        <f t="shared" si="0"/>
        <v xml:space="preserve"> </v>
      </c>
      <c r="G50" s="41">
        <f>Flowchart!H29</f>
        <v>0</v>
      </c>
      <c r="H50" s="41">
        <f>Flowchart!J29</f>
        <v>4</v>
      </c>
      <c r="I50" s="41">
        <f>Flowchart!K29</f>
        <v>0</v>
      </c>
      <c r="J50" s="111" t="str">
        <f t="shared" si="1"/>
        <v xml:space="preserve"> </v>
      </c>
      <c r="K50" s="100" t="str">
        <f t="shared" si="2"/>
        <v xml:space="preserve"> </v>
      </c>
      <c r="L50" s="41" t="str">
        <f t="shared" si="3"/>
        <v xml:space="preserve"> </v>
      </c>
      <c r="M50" s="41" t="str">
        <f t="shared" si="4"/>
        <v xml:space="preserve"> </v>
      </c>
      <c r="N50" s="41" t="str">
        <f t="shared" si="5"/>
        <v xml:space="preserve"> </v>
      </c>
      <c r="O50" s="116" t="str">
        <f t="shared" si="6"/>
        <v xml:space="preserve"> </v>
      </c>
      <c r="P50" s="111"/>
    </row>
    <row r="51" spans="2:21" x14ac:dyDescent="0.25">
      <c r="B51" s="170"/>
      <c r="C51" s="100" t="str">
        <f>VLOOKUP(Flowchart!V43,Page3!A3:B8,2)</f>
        <v>Elective</v>
      </c>
      <c r="D51" t="s">
        <v>251</v>
      </c>
      <c r="E51" s="101"/>
      <c r="F51" s="111" t="str">
        <f t="shared" si="0"/>
        <v xml:space="preserve"> </v>
      </c>
      <c r="G51" s="41">
        <f>Flowchart!V44</f>
        <v>0</v>
      </c>
      <c r="H51" s="41">
        <f>Flowchart!X44</f>
        <v>3</v>
      </c>
      <c r="I51" s="41">
        <f>Flowchart!Y44</f>
        <v>0</v>
      </c>
      <c r="J51" s="111" t="str">
        <f t="shared" si="1"/>
        <v xml:space="preserve"> </v>
      </c>
      <c r="K51" s="100" t="str">
        <f t="shared" si="2"/>
        <v xml:space="preserve"> </v>
      </c>
      <c r="L51" s="41" t="str">
        <f t="shared" si="3"/>
        <v xml:space="preserve"> </v>
      </c>
      <c r="M51" s="41" t="str">
        <f t="shared" si="4"/>
        <v xml:space="preserve"> </v>
      </c>
      <c r="N51" s="41" t="str">
        <f t="shared" si="5"/>
        <v xml:space="preserve"> </v>
      </c>
      <c r="O51" s="116" t="str">
        <f t="shared" si="6"/>
        <v xml:space="preserve"> </v>
      </c>
      <c r="P51" s="111"/>
      <c r="U51">
        <f>IF(Flowchart!V43=5,4,0)</f>
        <v>0</v>
      </c>
    </row>
    <row r="52" spans="2:21" x14ac:dyDescent="0.25">
      <c r="B52" s="170"/>
      <c r="C52" s="100" t="str">
        <f>Flowchart!V48</f>
        <v>Lab Elective</v>
      </c>
      <c r="D52" t="s">
        <v>255</v>
      </c>
      <c r="E52" s="101"/>
      <c r="F52" s="111" t="str">
        <f t="shared" si="0"/>
        <v xml:space="preserve"> </v>
      </c>
      <c r="G52" s="41">
        <f>Flowchart!V49</f>
        <v>0</v>
      </c>
      <c r="H52" s="41">
        <f>Flowchart!X49</f>
        <v>1</v>
      </c>
      <c r="I52" s="41">
        <f>Flowchart!Y49</f>
        <v>0</v>
      </c>
      <c r="J52" s="111" t="str">
        <f t="shared" si="1"/>
        <v xml:space="preserve"> </v>
      </c>
      <c r="K52" s="100" t="str">
        <f t="shared" si="2"/>
        <v xml:space="preserve"> </v>
      </c>
      <c r="L52" s="41" t="str">
        <f t="shared" si="3"/>
        <v xml:space="preserve"> </v>
      </c>
      <c r="M52" s="41" t="str">
        <f t="shared" si="4"/>
        <v xml:space="preserve"> </v>
      </c>
      <c r="N52" s="41" t="str">
        <f t="shared" si="5"/>
        <v xml:space="preserve"> </v>
      </c>
      <c r="O52" s="116" t="str">
        <f t="shared" si="6"/>
        <v xml:space="preserve"> </v>
      </c>
      <c r="P52" s="111"/>
    </row>
    <row r="53" spans="2:21" x14ac:dyDescent="0.25">
      <c r="B53" s="170"/>
      <c r="C53" s="100" t="str">
        <f>VLOOKUP(Flowchart!AC38,Page3!A17:B29,2)</f>
        <v>Elective</v>
      </c>
      <c r="D53" t="s">
        <v>205</v>
      </c>
      <c r="E53" s="101"/>
      <c r="F53" s="111" t="str">
        <f t="shared" si="0"/>
        <v xml:space="preserve"> </v>
      </c>
      <c r="G53" s="41">
        <f>Flowchart!AC39</f>
        <v>0</v>
      </c>
      <c r="H53" s="41">
        <f>Flowchart!AE39</f>
        <v>3</v>
      </c>
      <c r="I53" s="41">
        <f>Flowchart!AF39</f>
        <v>0</v>
      </c>
      <c r="J53" s="111" t="str">
        <f t="shared" si="1"/>
        <v xml:space="preserve"> </v>
      </c>
      <c r="K53" s="100" t="str">
        <f t="shared" si="2"/>
        <v xml:space="preserve"> </v>
      </c>
      <c r="L53" s="41" t="str">
        <f t="shared" si="3"/>
        <v xml:space="preserve"> </v>
      </c>
      <c r="M53" s="41" t="str">
        <f t="shared" si="4"/>
        <v xml:space="preserve"> </v>
      </c>
      <c r="N53" s="41" t="str">
        <f t="shared" si="5"/>
        <v xml:space="preserve"> </v>
      </c>
      <c r="O53" s="116" t="str">
        <f t="shared" si="6"/>
        <v xml:space="preserve"> </v>
      </c>
      <c r="P53" s="111"/>
      <c r="U53">
        <f>IF(Flowchart!AC38=3,3,0)+IF(Flowchart!AC38=4,3,0)+IF(Flowchart!AC38&gt;7,3,0)</f>
        <v>0</v>
      </c>
    </row>
    <row r="54" spans="2:21" ht="7.9" customHeight="1" x14ac:dyDescent="0.25">
      <c r="B54" s="95"/>
      <c r="C54" s="102"/>
      <c r="D54" s="103"/>
      <c r="E54" s="104"/>
      <c r="F54" s="112" t="str">
        <f t="shared" si="0"/>
        <v xml:space="preserve"> </v>
      </c>
      <c r="G54" s="86"/>
      <c r="H54" s="86"/>
      <c r="I54" s="86"/>
      <c r="J54" s="112" t="str">
        <f t="shared" si="1"/>
        <v xml:space="preserve"> </v>
      </c>
      <c r="K54" s="102" t="str">
        <f t="shared" si="2"/>
        <v xml:space="preserve"> </v>
      </c>
      <c r="L54" s="86" t="str">
        <f t="shared" si="3"/>
        <v xml:space="preserve"> </v>
      </c>
      <c r="M54" s="86" t="str">
        <f t="shared" si="4"/>
        <v xml:space="preserve"> </v>
      </c>
      <c r="N54" s="86" t="str">
        <f t="shared" si="5"/>
        <v xml:space="preserve"> </v>
      </c>
      <c r="O54" s="117" t="str">
        <f t="shared" si="6"/>
        <v xml:space="preserve"> </v>
      </c>
      <c r="P54" s="112"/>
    </row>
    <row r="55" spans="2:21" x14ac:dyDescent="0.25">
      <c r="B55" s="170" t="s">
        <v>314</v>
      </c>
      <c r="C55" s="100" t="str">
        <f>VLOOKUP(Flowchart!H53,Page3!A11:B14,2)</f>
        <v>Elective</v>
      </c>
      <c r="D55" t="s">
        <v>302</v>
      </c>
      <c r="E55" s="101"/>
      <c r="F55" s="111" t="str">
        <f t="shared" si="0"/>
        <v xml:space="preserve"> </v>
      </c>
      <c r="G55" s="41">
        <f>Flowchart!H54</f>
        <v>0</v>
      </c>
      <c r="H55" s="41">
        <f>Flowchart!J54</f>
        <v>3</v>
      </c>
      <c r="I55" s="41">
        <f>Flowchart!K54</f>
        <v>0</v>
      </c>
      <c r="J55" s="111" t="str">
        <f t="shared" si="1"/>
        <v xml:space="preserve"> </v>
      </c>
      <c r="K55" s="100" t="str">
        <f t="shared" si="2"/>
        <v xml:space="preserve"> </v>
      </c>
      <c r="L55" s="41" t="str">
        <f t="shared" si="3"/>
        <v xml:space="preserve"> </v>
      </c>
      <c r="M55" s="41" t="str">
        <f t="shared" si="4"/>
        <v xml:space="preserve"> </v>
      </c>
      <c r="N55" s="41" t="str">
        <f t="shared" si="5"/>
        <v xml:space="preserve"> </v>
      </c>
      <c r="O55" s="116" t="str">
        <f t="shared" si="6"/>
        <v xml:space="preserve"> </v>
      </c>
      <c r="P55" s="111"/>
    </row>
    <row r="56" spans="2:21" x14ac:dyDescent="0.25">
      <c r="B56" s="170"/>
      <c r="C56" s="100" t="str">
        <f>VLOOKUP(Flowchart!O53,Page3!E3:F14,2)</f>
        <v>Elective</v>
      </c>
      <c r="D56" t="s">
        <v>303</v>
      </c>
      <c r="E56" s="101"/>
      <c r="F56" s="111" t="str">
        <f t="shared" si="0"/>
        <v xml:space="preserve"> </v>
      </c>
      <c r="G56" s="41">
        <f>Flowchart!O54</f>
        <v>0</v>
      </c>
      <c r="H56" s="41">
        <f>Flowchart!Q54</f>
        <v>3</v>
      </c>
      <c r="I56" s="41">
        <f>Flowchart!R54</f>
        <v>0</v>
      </c>
      <c r="J56" s="111" t="str">
        <f t="shared" si="1"/>
        <v xml:space="preserve"> </v>
      </c>
      <c r="K56" s="100" t="str">
        <f t="shared" si="2"/>
        <v xml:space="preserve"> </v>
      </c>
      <c r="L56" s="41" t="str">
        <f t="shared" si="3"/>
        <v xml:space="preserve"> </v>
      </c>
      <c r="M56" s="41" t="str">
        <f t="shared" si="4"/>
        <v xml:space="preserve"> </v>
      </c>
      <c r="N56" s="41" t="str">
        <f t="shared" si="5"/>
        <v xml:space="preserve"> </v>
      </c>
      <c r="O56" s="116" t="str">
        <f t="shared" si="6"/>
        <v xml:space="preserve"> </v>
      </c>
      <c r="P56" s="111"/>
    </row>
    <row r="57" spans="2:21" x14ac:dyDescent="0.25">
      <c r="B57" s="170"/>
      <c r="C57" s="100" t="str">
        <f>VLOOKUP(Flowchart!AQ48,Page3!I3:J32,2)</f>
        <v>Elective</v>
      </c>
      <c r="D57" t="s">
        <v>304</v>
      </c>
      <c r="E57" s="101"/>
      <c r="F57" s="111" t="str">
        <f t="shared" si="0"/>
        <v xml:space="preserve"> </v>
      </c>
      <c r="G57" s="41">
        <f>Flowchart!AQ49</f>
        <v>0</v>
      </c>
      <c r="H57" s="41">
        <f>Flowchart!AS49</f>
        <v>3</v>
      </c>
      <c r="I57" s="41">
        <f>Flowchart!AT49</f>
        <v>0</v>
      </c>
      <c r="J57" s="111" t="str">
        <f t="shared" si="1"/>
        <v xml:space="preserve"> </v>
      </c>
      <c r="K57" s="100" t="str">
        <f t="shared" si="2"/>
        <v xml:space="preserve"> </v>
      </c>
      <c r="L57" s="41" t="str">
        <f t="shared" si="3"/>
        <v xml:space="preserve"> </v>
      </c>
      <c r="M57" s="41" t="str">
        <f t="shared" si="4"/>
        <v xml:space="preserve"> </v>
      </c>
      <c r="N57" s="41" t="str">
        <f t="shared" si="5"/>
        <v xml:space="preserve"> </v>
      </c>
      <c r="O57" s="116" t="str">
        <f t="shared" si="6"/>
        <v xml:space="preserve"> </v>
      </c>
      <c r="P57" s="111"/>
    </row>
    <row r="58" spans="2:21" x14ac:dyDescent="0.25">
      <c r="B58" s="170"/>
      <c r="C58" s="100" t="str">
        <f>VLOOKUP(Flowchart!AJ53,Page3!M4:N30,2)</f>
        <v>Elective</v>
      </c>
      <c r="D58" t="s">
        <v>305</v>
      </c>
      <c r="E58" s="101"/>
      <c r="F58" s="111" t="str">
        <f t="shared" si="0"/>
        <v xml:space="preserve"> </v>
      </c>
      <c r="G58" s="41">
        <f>Flowchart!AJ54</f>
        <v>0</v>
      </c>
      <c r="H58" s="41">
        <f>Flowchart!AL54</f>
        <v>3</v>
      </c>
      <c r="I58" s="41">
        <f>Flowchart!AM54</f>
        <v>0</v>
      </c>
      <c r="J58" s="111" t="str">
        <f t="shared" si="1"/>
        <v xml:space="preserve"> </v>
      </c>
      <c r="K58" s="100" t="str">
        <f t="shared" si="2"/>
        <v xml:space="preserve"> </v>
      </c>
      <c r="L58" s="41" t="str">
        <f t="shared" si="3"/>
        <v xml:space="preserve"> </v>
      </c>
      <c r="M58" s="41" t="str">
        <f t="shared" si="4"/>
        <v xml:space="preserve"> </v>
      </c>
      <c r="N58" s="41" t="str">
        <f t="shared" si="5"/>
        <v xml:space="preserve"> </v>
      </c>
      <c r="O58" s="116" t="str">
        <f t="shared" si="6"/>
        <v xml:space="preserve"> </v>
      </c>
      <c r="P58" s="111"/>
    </row>
    <row r="59" spans="2:21" x14ac:dyDescent="0.25">
      <c r="B59" s="170"/>
      <c r="C59" s="100" t="str">
        <f>VLOOKUP(Flowchart!AQ53,Page3!M4:N30,2)</f>
        <v>Elective</v>
      </c>
      <c r="D59" t="s">
        <v>84</v>
      </c>
      <c r="E59" s="101"/>
      <c r="F59" s="111" t="str">
        <f t="shared" si="0"/>
        <v xml:space="preserve"> </v>
      </c>
      <c r="G59" s="41">
        <f>Flowchart!AQ54</f>
        <v>0</v>
      </c>
      <c r="H59" s="41">
        <f>Flowchart!AS54</f>
        <v>3</v>
      </c>
      <c r="I59" s="41">
        <f>Flowchart!AT54</f>
        <v>0</v>
      </c>
      <c r="J59" s="111" t="str">
        <f t="shared" si="1"/>
        <v xml:space="preserve"> </v>
      </c>
      <c r="K59" s="100" t="str">
        <f t="shared" si="2"/>
        <v xml:space="preserve"> </v>
      </c>
      <c r="L59" s="41" t="str">
        <f t="shared" si="3"/>
        <v xml:space="preserve"> </v>
      </c>
      <c r="M59" s="41" t="str">
        <f t="shared" si="4"/>
        <v xml:space="preserve"> </v>
      </c>
      <c r="N59" s="41" t="str">
        <f t="shared" si="5"/>
        <v xml:space="preserve"> </v>
      </c>
      <c r="O59" s="116" t="str">
        <f t="shared" si="6"/>
        <v xml:space="preserve"> </v>
      </c>
      <c r="P59" s="111"/>
    </row>
    <row r="60" spans="2:21" x14ac:dyDescent="0.25">
      <c r="B60" s="170"/>
      <c r="C60" s="100" t="str">
        <f>VLOOKUP(Flowchart!AX53,Page3!M4:N30,2)</f>
        <v>Elective</v>
      </c>
      <c r="D60" t="s">
        <v>85</v>
      </c>
      <c r="E60" s="101"/>
      <c r="F60" s="111" t="str">
        <f t="shared" si="0"/>
        <v xml:space="preserve"> </v>
      </c>
      <c r="G60" s="41">
        <f>Flowchart!AX54</f>
        <v>0</v>
      </c>
      <c r="H60" s="41">
        <f>Flowchart!AZ54</f>
        <v>3</v>
      </c>
      <c r="I60" s="41">
        <f>Flowchart!BA54</f>
        <v>0</v>
      </c>
      <c r="J60" s="111" t="str">
        <f t="shared" si="1"/>
        <v xml:space="preserve"> </v>
      </c>
      <c r="K60" s="100" t="str">
        <f t="shared" si="2"/>
        <v xml:space="preserve"> </v>
      </c>
      <c r="L60" s="41" t="str">
        <f t="shared" si="3"/>
        <v xml:space="preserve"> </v>
      </c>
      <c r="M60" s="41" t="str">
        <f t="shared" si="4"/>
        <v xml:space="preserve"> </v>
      </c>
      <c r="N60" s="41" t="str">
        <f t="shared" si="5"/>
        <v xml:space="preserve"> </v>
      </c>
      <c r="O60" s="116" t="str">
        <f t="shared" si="6"/>
        <v xml:space="preserve"> </v>
      </c>
      <c r="P60" s="111"/>
    </row>
    <row r="61" spans="2:21" ht="7.9" customHeight="1" x14ac:dyDescent="0.25">
      <c r="B61" s="96"/>
      <c r="C61" s="105"/>
      <c r="D61" s="106"/>
      <c r="E61" s="107"/>
      <c r="F61" s="113"/>
      <c r="G61" s="86"/>
      <c r="H61" s="86"/>
      <c r="I61" s="86"/>
      <c r="J61" s="113"/>
      <c r="K61" s="105"/>
      <c r="L61" s="106"/>
      <c r="M61" s="106"/>
      <c r="N61" s="106"/>
      <c r="O61" s="107"/>
      <c r="P61" s="113"/>
    </row>
    <row r="62" spans="2:21" x14ac:dyDescent="0.25">
      <c r="J62" s="120" t="s">
        <v>315</v>
      </c>
      <c r="K62" s="118">
        <f>SUM(K9:K60)</f>
        <v>0</v>
      </c>
      <c r="L62" s="118">
        <f t="shared" ref="L62:O62" si="7">SUM(L9:L60)</f>
        <v>0</v>
      </c>
      <c r="M62" s="118">
        <f t="shared" si="7"/>
        <v>0</v>
      </c>
      <c r="N62" s="118">
        <f t="shared" si="7"/>
        <v>0</v>
      </c>
      <c r="O62" s="119">
        <f t="shared" si="7"/>
        <v>0</v>
      </c>
    </row>
    <row r="63" spans="2:21" x14ac:dyDescent="0.25">
      <c r="C63" s="88" t="s">
        <v>319</v>
      </c>
      <c r="D63" s="82">
        <f>N62</f>
        <v>0</v>
      </c>
      <c r="E63" s="81" t="str">
        <f>IF(D63&lt;9,"Okay","No Good")</f>
        <v>Okay</v>
      </c>
    </row>
    <row r="64" spans="2:21" x14ac:dyDescent="0.25">
      <c r="C64" s="87" t="s">
        <v>316</v>
      </c>
      <c r="D64" s="89" t="e">
        <f>(K62*4+L62*3+M62*2+N62*1)/(K62+L62+M62+N62)</f>
        <v>#DIV/0!</v>
      </c>
      <c r="E64" s="81" t="e">
        <f>IF(D64&gt;2,"Okay","No Good")</f>
        <v>#DIV/0!</v>
      </c>
      <c r="O64" s="81"/>
    </row>
    <row r="65" spans="3:16" x14ac:dyDescent="0.25">
      <c r="C65" s="87" t="s">
        <v>317</v>
      </c>
      <c r="D65" s="82"/>
      <c r="E65" s="81" t="str">
        <f>IF(D65&gt;2,"Okay","No Good")</f>
        <v>No Good</v>
      </c>
      <c r="G65" s="121"/>
      <c r="H65" s="121"/>
      <c r="I65" s="121"/>
      <c r="J65" s="179" t="s">
        <v>320</v>
      </c>
      <c r="K65" s="179"/>
      <c r="L65" s="179"/>
      <c r="M65" s="179"/>
      <c r="N65" s="179"/>
      <c r="O65" s="179"/>
      <c r="P65" s="83" t="s">
        <v>132</v>
      </c>
    </row>
    <row r="66" spans="3:16" x14ac:dyDescent="0.25">
      <c r="C66" s="87" t="s">
        <v>391</v>
      </c>
      <c r="D66" s="82">
        <f>SUM(K16:N27)+SUM(K30:N34)+SUM(K39:N39)+U51+U53</f>
        <v>0</v>
      </c>
      <c r="E66" s="81" t="str">
        <f>IF(D66&gt;29,"Okay","No Good")</f>
        <v>No Good</v>
      </c>
    </row>
    <row r="67" spans="3:16" x14ac:dyDescent="0.25">
      <c r="C67" s="87" t="s">
        <v>318</v>
      </c>
      <c r="D67" s="82">
        <f>SUM(K62:O62)</f>
        <v>0</v>
      </c>
      <c r="E67" s="81" t="str">
        <f>IF(D67&gt;127,"Okay","No Good")</f>
        <v>No Good</v>
      </c>
    </row>
    <row r="68" spans="3:16" x14ac:dyDescent="0.25">
      <c r="C68" s="87"/>
      <c r="J68" s="179" t="s">
        <v>321</v>
      </c>
      <c r="K68" s="179"/>
      <c r="L68" s="179"/>
      <c r="M68" s="179"/>
      <c r="N68" s="179"/>
      <c r="O68" s="179"/>
      <c r="P68" s="83" t="s">
        <v>132</v>
      </c>
    </row>
  </sheetData>
  <mergeCells count="17">
    <mergeCell ref="E3:J3"/>
    <mergeCell ref="B3:D3"/>
    <mergeCell ref="E4:F4"/>
    <mergeCell ref="K4:O4"/>
    <mergeCell ref="K3:O3"/>
    <mergeCell ref="B4:D4"/>
    <mergeCell ref="B36:B39"/>
    <mergeCell ref="B9:B28"/>
    <mergeCell ref="C7:E8"/>
    <mergeCell ref="J65:O65"/>
    <mergeCell ref="J68:O68"/>
    <mergeCell ref="B41:B53"/>
    <mergeCell ref="F7:F8"/>
    <mergeCell ref="J7:J8"/>
    <mergeCell ref="B55:B60"/>
    <mergeCell ref="K7:O7"/>
    <mergeCell ref="B30:B34"/>
  </mergeCells>
  <conditionalFormatting sqref="D63:E63">
    <cfRule type="expression" dxfId="52" priority="53">
      <formula>$D$63&gt;8</formula>
    </cfRule>
  </conditionalFormatting>
  <conditionalFormatting sqref="D64:E64">
    <cfRule type="expression" dxfId="51" priority="52">
      <formula>$D$64&lt;2</formula>
    </cfRule>
  </conditionalFormatting>
  <conditionalFormatting sqref="D65:E65">
    <cfRule type="expression" dxfId="50" priority="51">
      <formula>$D$65&lt;2</formula>
    </cfRule>
  </conditionalFormatting>
  <conditionalFormatting sqref="D66:E66">
    <cfRule type="expression" dxfId="49" priority="50">
      <formula>$D$66&lt;30</formula>
    </cfRule>
  </conditionalFormatting>
  <conditionalFormatting sqref="D67:E67">
    <cfRule type="expression" dxfId="48" priority="49">
      <formula>$D$67&lt;128</formula>
    </cfRule>
  </conditionalFormatting>
  <conditionalFormatting sqref="C9">
    <cfRule type="expression" dxfId="47" priority="48">
      <formula>$I$9=0</formula>
    </cfRule>
  </conditionalFormatting>
  <conditionalFormatting sqref="C10">
    <cfRule type="expression" dxfId="46" priority="47">
      <formula>I10=0</formula>
    </cfRule>
  </conditionalFormatting>
  <conditionalFormatting sqref="C11">
    <cfRule type="expression" dxfId="45" priority="46">
      <formula>I11=0</formula>
    </cfRule>
  </conditionalFormatting>
  <conditionalFormatting sqref="C12">
    <cfRule type="expression" dxfId="44" priority="45">
      <formula>I12=0</formula>
    </cfRule>
  </conditionalFormatting>
  <conditionalFormatting sqref="C13">
    <cfRule type="expression" dxfId="43" priority="44">
      <formula>I13=0</formula>
    </cfRule>
  </conditionalFormatting>
  <conditionalFormatting sqref="C14">
    <cfRule type="expression" dxfId="42" priority="43">
      <formula>I14=0</formula>
    </cfRule>
  </conditionalFormatting>
  <conditionalFormatting sqref="C15">
    <cfRule type="expression" dxfId="41" priority="42">
      <formula>I15=0</formula>
    </cfRule>
  </conditionalFormatting>
  <conditionalFormatting sqref="C16">
    <cfRule type="expression" dxfId="40" priority="41">
      <formula>I16=0</formula>
    </cfRule>
  </conditionalFormatting>
  <conditionalFormatting sqref="C17">
    <cfRule type="expression" dxfId="39" priority="40">
      <formula>I17=0</formula>
    </cfRule>
  </conditionalFormatting>
  <conditionalFormatting sqref="C18">
    <cfRule type="expression" dxfId="38" priority="39">
      <formula>I18=0</formula>
    </cfRule>
  </conditionalFormatting>
  <conditionalFormatting sqref="C19">
    <cfRule type="expression" dxfId="37" priority="38">
      <formula>I19=0</formula>
    </cfRule>
  </conditionalFormatting>
  <conditionalFormatting sqref="C20">
    <cfRule type="expression" dxfId="36" priority="37">
      <formula>I20=0</formula>
    </cfRule>
  </conditionalFormatting>
  <conditionalFormatting sqref="C21">
    <cfRule type="expression" dxfId="35" priority="36">
      <formula>I21=0</formula>
    </cfRule>
  </conditionalFormatting>
  <conditionalFormatting sqref="C22">
    <cfRule type="expression" dxfId="34" priority="35">
      <formula>I22=0</formula>
    </cfRule>
  </conditionalFormatting>
  <conditionalFormatting sqref="C23">
    <cfRule type="expression" dxfId="33" priority="34">
      <formula>I23=0</formula>
    </cfRule>
  </conditionalFormatting>
  <conditionalFormatting sqref="C24">
    <cfRule type="expression" dxfId="32" priority="33">
      <formula>I24=0</formula>
    </cfRule>
  </conditionalFormatting>
  <conditionalFormatting sqref="C25">
    <cfRule type="expression" dxfId="31" priority="32">
      <formula>I25=0</formula>
    </cfRule>
  </conditionalFormatting>
  <conditionalFormatting sqref="C26">
    <cfRule type="expression" dxfId="30" priority="31">
      <formula>I26=0</formula>
    </cfRule>
  </conditionalFormatting>
  <conditionalFormatting sqref="C27:C28">
    <cfRule type="expression" dxfId="29" priority="30">
      <formula>I27=0</formula>
    </cfRule>
  </conditionalFormatting>
  <conditionalFormatting sqref="C30">
    <cfRule type="expression" dxfId="28" priority="29">
      <formula>I30=0</formula>
    </cfRule>
  </conditionalFormatting>
  <conditionalFormatting sqref="C31">
    <cfRule type="expression" dxfId="27" priority="28">
      <formula>I31=0</formula>
    </cfRule>
  </conditionalFormatting>
  <conditionalFormatting sqref="C32">
    <cfRule type="expression" dxfId="26" priority="27">
      <formula>I32=0</formula>
    </cfRule>
  </conditionalFormatting>
  <conditionalFormatting sqref="C33">
    <cfRule type="expression" dxfId="25" priority="26">
      <formula>I33=0</formula>
    </cfRule>
  </conditionalFormatting>
  <conditionalFormatting sqref="C34">
    <cfRule type="expression" dxfId="24" priority="25">
      <formula>I34=0</formula>
    </cfRule>
  </conditionalFormatting>
  <conditionalFormatting sqref="C36">
    <cfRule type="expression" dxfId="23" priority="24">
      <formula>I36=0</formula>
    </cfRule>
  </conditionalFormatting>
  <conditionalFormatting sqref="C37">
    <cfRule type="expression" dxfId="22" priority="23">
      <formula>I37=0</formula>
    </cfRule>
  </conditionalFormatting>
  <conditionalFormatting sqref="C38">
    <cfRule type="expression" dxfId="21" priority="22">
      <formula>I38=0</formula>
    </cfRule>
  </conditionalFormatting>
  <conditionalFormatting sqref="C39">
    <cfRule type="expression" dxfId="20" priority="21">
      <formula>I39=0</formula>
    </cfRule>
  </conditionalFormatting>
  <conditionalFormatting sqref="C41">
    <cfRule type="expression" dxfId="19" priority="20">
      <formula>I41=0</formula>
    </cfRule>
  </conditionalFormatting>
  <conditionalFormatting sqref="C42">
    <cfRule type="expression" dxfId="18" priority="19">
      <formula>I42=0</formula>
    </cfRule>
  </conditionalFormatting>
  <conditionalFormatting sqref="C43">
    <cfRule type="expression" dxfId="17" priority="18">
      <formula>I43=0</formula>
    </cfRule>
  </conditionalFormatting>
  <conditionalFormatting sqref="C44">
    <cfRule type="expression" dxfId="16" priority="17">
      <formula>I44=0</formula>
    </cfRule>
  </conditionalFormatting>
  <conditionalFormatting sqref="C45">
    <cfRule type="expression" dxfId="15" priority="16">
      <formula>I45=0</formula>
    </cfRule>
  </conditionalFormatting>
  <conditionalFormatting sqref="C46">
    <cfRule type="expression" dxfId="14" priority="15">
      <formula>I46=0</formula>
    </cfRule>
  </conditionalFormatting>
  <conditionalFormatting sqref="C47">
    <cfRule type="expression" dxfId="13" priority="14">
      <formula>I47=0</formula>
    </cfRule>
  </conditionalFormatting>
  <conditionalFormatting sqref="C48">
    <cfRule type="expression" dxfId="12" priority="13">
      <formula>I48=0</formula>
    </cfRule>
  </conditionalFormatting>
  <conditionalFormatting sqref="C49">
    <cfRule type="expression" dxfId="11" priority="12">
      <formula>I49=0</formula>
    </cfRule>
  </conditionalFormatting>
  <conditionalFormatting sqref="C50">
    <cfRule type="expression" dxfId="10" priority="11">
      <formula>I50=0</formula>
    </cfRule>
  </conditionalFormatting>
  <conditionalFormatting sqref="C51">
    <cfRule type="expression" dxfId="9" priority="10">
      <formula>I51=0</formula>
    </cfRule>
  </conditionalFormatting>
  <conditionalFormatting sqref="C52">
    <cfRule type="expression" dxfId="8" priority="9">
      <formula>I52=0</formula>
    </cfRule>
  </conditionalFormatting>
  <conditionalFormatting sqref="C53">
    <cfRule type="expression" dxfId="7" priority="8">
      <formula>I53=0</formula>
    </cfRule>
  </conditionalFormatting>
  <conditionalFormatting sqref="C55">
    <cfRule type="expression" dxfId="6" priority="7">
      <formula>I55=0</formula>
    </cfRule>
  </conditionalFormatting>
  <conditionalFormatting sqref="C56">
    <cfRule type="expression" dxfId="5" priority="6">
      <formula>I56=0</formula>
    </cfRule>
  </conditionalFormatting>
  <conditionalFormatting sqref="C57">
    <cfRule type="expression" dxfId="4" priority="5">
      <formula>I57=0</formula>
    </cfRule>
  </conditionalFormatting>
  <conditionalFormatting sqref="C58">
    <cfRule type="expression" dxfId="3" priority="4">
      <formula>I58=0</formula>
    </cfRule>
  </conditionalFormatting>
  <conditionalFormatting sqref="C59">
    <cfRule type="expression" dxfId="2" priority="3">
      <formula>I59=0</formula>
    </cfRule>
  </conditionalFormatting>
  <conditionalFormatting sqref="C60">
    <cfRule type="expression" dxfId="1" priority="2">
      <formula>I60=0</formula>
    </cfRule>
  </conditionalFormatting>
  <printOptions horizontalCentered="1"/>
  <pageMargins left="0.7" right="0.7" top="0.5" bottom="0.2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4FF76-70B1-4191-9181-9620C9AD9132}">
  <dimension ref="B5:M16"/>
  <sheetViews>
    <sheetView workbookViewId="0">
      <selection activeCell="D9" sqref="D9"/>
    </sheetView>
  </sheetViews>
  <sheetFormatPr defaultRowHeight="15" x14ac:dyDescent="0.25"/>
  <cols>
    <col min="2" max="2" width="15.7109375" bestFit="1" customWidth="1"/>
    <col min="3" max="3" width="12" style="41" customWidth="1"/>
    <col min="4" max="4" width="12.140625" customWidth="1"/>
    <col min="5" max="5" width="10" customWidth="1"/>
    <col min="8" max="8" width="10" bestFit="1" customWidth="1"/>
    <col min="9" max="9" width="11.42578125" bestFit="1" customWidth="1"/>
    <col min="10" max="10" width="9.5703125" bestFit="1" customWidth="1"/>
    <col min="11" max="11" width="10.140625" bestFit="1" customWidth="1"/>
    <col min="12" max="12" width="9.85546875" bestFit="1" customWidth="1"/>
    <col min="13" max="13" width="10" bestFit="1" customWidth="1"/>
  </cols>
  <sheetData>
    <row r="5" spans="2:13" ht="45" x14ac:dyDescent="0.25">
      <c r="C5" s="122" t="s">
        <v>362</v>
      </c>
      <c r="D5" s="122" t="s">
        <v>363</v>
      </c>
      <c r="E5" s="123" t="s">
        <v>364</v>
      </c>
      <c r="F5" s="123" t="s">
        <v>307</v>
      </c>
    </row>
    <row r="6" spans="2:13" x14ac:dyDescent="0.25">
      <c r="C6" s="41">
        <v>1.1000000000000001</v>
      </c>
      <c r="D6" s="41" t="str">
        <f>Flowchart!A47</f>
        <v>ENGL 1013</v>
      </c>
      <c r="E6" s="41">
        <f>Flowchart!A49</f>
        <v>0</v>
      </c>
      <c r="F6" s="41">
        <f>Flowchart!D49</f>
        <v>0</v>
      </c>
    </row>
    <row r="7" spans="2:13" x14ac:dyDescent="0.25">
      <c r="B7" s="81" t="str">
        <f>IF(Audit!P42=0," ","1033 NOT TAKEN")</f>
        <v xml:space="preserve"> </v>
      </c>
      <c r="C7" s="41">
        <v>1.2</v>
      </c>
      <c r="D7" s="41" t="s">
        <v>211</v>
      </c>
      <c r="E7" s="41">
        <f>Flowchart!H49</f>
        <v>0</v>
      </c>
      <c r="F7" s="41">
        <f>Flowchart!K49</f>
        <v>0</v>
      </c>
      <c r="H7" t="s">
        <v>211</v>
      </c>
      <c r="I7" t="s">
        <v>365</v>
      </c>
      <c r="J7" t="s">
        <v>187</v>
      </c>
      <c r="K7" t="s">
        <v>366</v>
      </c>
      <c r="L7" t="s">
        <v>367</v>
      </c>
      <c r="M7" t="s">
        <v>368</v>
      </c>
    </row>
    <row r="8" spans="2:13" x14ac:dyDescent="0.25">
      <c r="C8" s="41">
        <v>2.1</v>
      </c>
      <c r="D8" s="41" t="str">
        <f>Flowchart!A22</f>
        <v>MATH 2554</v>
      </c>
      <c r="E8" s="41">
        <f>Flowchart!A24</f>
        <v>0</v>
      </c>
      <c r="F8" s="41">
        <f>Flowchart!D24</f>
        <v>0</v>
      </c>
    </row>
    <row r="9" spans="2:13" x14ac:dyDescent="0.25">
      <c r="C9" s="41">
        <v>3.1</v>
      </c>
      <c r="D9" s="41" t="str">
        <f>Audit!C56</f>
        <v>Elective</v>
      </c>
      <c r="E9" s="41">
        <f>Flowchart!O54</f>
        <v>0</v>
      </c>
      <c r="F9" s="41">
        <f>Flowchart!R54</f>
        <v>0</v>
      </c>
      <c r="H9" t="s">
        <v>369</v>
      </c>
    </row>
    <row r="10" spans="2:13" x14ac:dyDescent="0.25">
      <c r="C10" s="41">
        <v>3.2</v>
      </c>
      <c r="D10" s="41" t="str">
        <f>Audit!C57</f>
        <v>Elective</v>
      </c>
      <c r="E10" s="41">
        <f>Flowchart!AQ49</f>
        <v>0</v>
      </c>
      <c r="F10" s="41">
        <f>Flowchart!AT49</f>
        <v>0</v>
      </c>
      <c r="H10" t="s">
        <v>370</v>
      </c>
    </row>
    <row r="11" spans="2:13" x14ac:dyDescent="0.25">
      <c r="C11" s="41">
        <v>3.3</v>
      </c>
      <c r="D11" s="41" t="str">
        <f>Audit!C55</f>
        <v>Elective</v>
      </c>
      <c r="E11" s="41">
        <f>Flowchart!H54</f>
        <v>0</v>
      </c>
      <c r="F11" s="41">
        <f>Flowchart!K54</f>
        <v>0</v>
      </c>
      <c r="H11" t="s">
        <v>371</v>
      </c>
    </row>
    <row r="12" spans="2:13" x14ac:dyDescent="0.25">
      <c r="C12" s="41">
        <v>3.4</v>
      </c>
      <c r="D12" s="41" t="str">
        <f>Flowchart!H27</f>
        <v>PHYS 2054</v>
      </c>
      <c r="E12" s="41">
        <f>Flowchart!H29</f>
        <v>0</v>
      </c>
      <c r="F12" s="41">
        <f>Flowchart!K29</f>
        <v>0</v>
      </c>
    </row>
    <row r="13" spans="2:13" x14ac:dyDescent="0.25">
      <c r="C13" s="41">
        <v>4.0999999999999996</v>
      </c>
      <c r="D13" s="41"/>
      <c r="E13" s="41"/>
      <c r="F13" s="41"/>
      <c r="H13" t="s">
        <v>372</v>
      </c>
    </row>
    <row r="14" spans="2:13" x14ac:dyDescent="0.25">
      <c r="C14" s="41">
        <v>4.2</v>
      </c>
      <c r="D14" s="41" t="str">
        <f>Audit!C55</f>
        <v>Elective</v>
      </c>
      <c r="E14" s="41">
        <f>Flowchart!H54</f>
        <v>0</v>
      </c>
      <c r="F14" s="41">
        <f>Flowchart!K54</f>
        <v>0</v>
      </c>
    </row>
    <row r="15" spans="2:13" x14ac:dyDescent="0.25">
      <c r="C15" s="41">
        <v>5.0999999999999996</v>
      </c>
      <c r="D15" s="41"/>
      <c r="E15" s="41"/>
      <c r="F15" s="41"/>
      <c r="H15" t="s">
        <v>372</v>
      </c>
    </row>
    <row r="16" spans="2:13" x14ac:dyDescent="0.25">
      <c r="C16" s="41">
        <v>6.1</v>
      </c>
      <c r="D16" s="41" t="str">
        <f>Audit!C33</f>
        <v>Project Elective 1</v>
      </c>
      <c r="E16" s="41">
        <f>Flowchart!AQ29</f>
        <v>0</v>
      </c>
      <c r="F16" s="41">
        <f>Flowchart!AT29</f>
        <v>0</v>
      </c>
    </row>
  </sheetData>
  <conditionalFormatting sqref="B7">
    <cfRule type="containsText" dxfId="0" priority="1" operator="containsText" text="NOT">
      <formula>NOT(ISERROR(SEARCH("NOT",B7)))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57"/>
  <sheetViews>
    <sheetView zoomScaleNormal="100" workbookViewId="0">
      <selection activeCell="P4" sqref="P4"/>
    </sheetView>
  </sheetViews>
  <sheetFormatPr defaultColWidth="9.140625" defaultRowHeight="12.75" x14ac:dyDescent="0.2"/>
  <cols>
    <col min="1" max="1" width="21.42578125" style="51" customWidth="1"/>
    <col min="2" max="3" width="3.5703125" style="51" customWidth="1"/>
    <col min="4" max="4" width="0.7109375" style="51" customWidth="1"/>
    <col min="5" max="5" width="3.5703125" style="51" customWidth="1"/>
    <col min="6" max="6" width="0.7109375" style="51" customWidth="1"/>
    <col min="7" max="7" width="3.5703125" style="51" customWidth="1"/>
    <col min="8" max="8" width="0.7109375" style="51" customWidth="1"/>
    <col min="9" max="9" width="3.5703125" style="51" customWidth="1"/>
    <col min="10" max="10" width="0.5703125" style="51" customWidth="1"/>
    <col min="11" max="11" width="3.5703125" style="51" customWidth="1"/>
    <col min="12" max="12" width="0.7109375" style="51" customWidth="1"/>
    <col min="13" max="13" width="3.5703125" style="51" customWidth="1"/>
    <col min="14" max="14" width="0.7109375" style="51" customWidth="1"/>
    <col min="15" max="15" width="4.28515625" style="51" customWidth="1"/>
    <col min="16" max="16" width="20.7109375" style="51" customWidth="1"/>
    <col min="17" max="18" width="3.5703125" style="51" customWidth="1"/>
    <col min="19" max="19" width="0.7109375" style="51" customWidth="1"/>
    <col min="20" max="20" width="3.5703125" style="51" customWidth="1"/>
    <col min="21" max="21" width="0.7109375" style="51" customWidth="1"/>
    <col min="22" max="22" width="3.5703125" style="51" customWidth="1"/>
    <col min="23" max="23" width="0.7109375" style="51" customWidth="1"/>
    <col min="24" max="24" width="3.5703125" style="51" customWidth="1"/>
    <col min="25" max="25" width="0.7109375" style="51" customWidth="1"/>
    <col min="26" max="26" width="3.5703125" style="51" customWidth="1"/>
    <col min="27" max="27" width="0.7109375" style="51" customWidth="1"/>
    <col min="28" max="28" width="4.42578125" style="51" customWidth="1"/>
    <col min="29" max="16384" width="9.140625" style="52"/>
  </cols>
  <sheetData>
    <row r="1" spans="1:31" x14ac:dyDescent="0.2">
      <c r="A1" s="189" t="s">
        <v>248</v>
      </c>
      <c r="B1" s="189"/>
      <c r="C1" s="189"/>
      <c r="D1" s="189"/>
      <c r="E1" s="189"/>
      <c r="F1" s="189"/>
      <c r="G1" s="75" t="str">
        <f>Flowchart!R2</f>
        <v>2022-2023 Catalog</v>
      </c>
      <c r="T1" s="60" t="s">
        <v>146</v>
      </c>
    </row>
    <row r="3" spans="1:31" x14ac:dyDescent="0.2">
      <c r="A3" s="55">
        <f>Audit!B3</f>
        <v>0</v>
      </c>
      <c r="B3" s="55">
        <f>Audit!E3</f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P3" s="65">
        <f>Audit!K3</f>
        <v>0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31" x14ac:dyDescent="0.2">
      <c r="A4" s="51" t="s">
        <v>147</v>
      </c>
      <c r="B4" s="51" t="s">
        <v>148</v>
      </c>
      <c r="K4" s="51" t="s">
        <v>149</v>
      </c>
      <c r="P4" s="53" t="s">
        <v>150</v>
      </c>
      <c r="V4" s="51" t="s">
        <v>151</v>
      </c>
    </row>
    <row r="6" spans="1:31" x14ac:dyDescent="0.2">
      <c r="A6" s="51" t="s">
        <v>152</v>
      </c>
      <c r="C6" s="55"/>
      <c r="E6" s="55"/>
      <c r="G6" s="55"/>
      <c r="I6" s="55"/>
      <c r="M6" s="51" t="s">
        <v>153</v>
      </c>
      <c r="P6" s="51" t="s">
        <v>154</v>
      </c>
      <c r="Q6" s="51" t="s">
        <v>155</v>
      </c>
      <c r="AE6" s="74"/>
    </row>
    <row r="7" spans="1:31" x14ac:dyDescent="0.2">
      <c r="A7" s="53"/>
      <c r="B7" s="53"/>
      <c r="C7" s="53" t="s">
        <v>156</v>
      </c>
      <c r="D7" s="53"/>
      <c r="E7" s="53" t="s">
        <v>157</v>
      </c>
      <c r="F7" s="53"/>
      <c r="G7" s="53" t="s">
        <v>6</v>
      </c>
      <c r="H7" s="53"/>
      <c r="I7" s="53" t="s">
        <v>158</v>
      </c>
      <c r="J7" s="53"/>
      <c r="P7" s="51" t="s">
        <v>159</v>
      </c>
      <c r="Q7" s="51" t="s">
        <v>160</v>
      </c>
    </row>
    <row r="8" spans="1:31" x14ac:dyDescent="0.2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31" x14ac:dyDescent="0.2">
      <c r="C9" s="51" t="s">
        <v>94</v>
      </c>
      <c r="P9" s="51" t="s">
        <v>95</v>
      </c>
      <c r="V9" s="51" t="s">
        <v>96</v>
      </c>
      <c r="X9" s="51" t="s">
        <v>96</v>
      </c>
      <c r="Z9" s="51" t="s">
        <v>97</v>
      </c>
    </row>
    <row r="10" spans="1:31" x14ac:dyDescent="0.2">
      <c r="A10" s="51" t="s">
        <v>161</v>
      </c>
      <c r="C10" s="55"/>
      <c r="E10" s="53" t="s">
        <v>99</v>
      </c>
      <c r="F10" s="53"/>
      <c r="G10" s="53" t="s">
        <v>100</v>
      </c>
      <c r="H10" s="53"/>
      <c r="I10" s="53" t="s">
        <v>101</v>
      </c>
      <c r="J10" s="53"/>
      <c r="K10" s="53" t="s">
        <v>102</v>
      </c>
      <c r="L10" s="53"/>
      <c r="M10" s="53" t="s">
        <v>103</v>
      </c>
      <c r="P10" s="51" t="s">
        <v>104</v>
      </c>
      <c r="R10" s="51" t="s">
        <v>105</v>
      </c>
      <c r="T10" s="51" t="s">
        <v>106</v>
      </c>
      <c r="V10" s="51" t="s">
        <v>106</v>
      </c>
      <c r="X10" s="51" t="s">
        <v>107</v>
      </c>
      <c r="Z10" s="51" t="s">
        <v>108</v>
      </c>
      <c r="AB10" s="53" t="s">
        <v>109</v>
      </c>
    </row>
    <row r="12" spans="1:31" x14ac:dyDescent="0.2">
      <c r="A12" s="51" t="s">
        <v>186</v>
      </c>
      <c r="C12" s="55">
        <f>Flowchart!A49</f>
        <v>0</v>
      </c>
      <c r="E12" s="67" t="str">
        <f>IF(Flowchart!$D$49="A", 3," ")</f>
        <v xml:space="preserve"> </v>
      </c>
      <c r="G12" s="67" t="str">
        <f>IF(Flowchart!$D$49="B", 3," ")</f>
        <v xml:space="preserve"> </v>
      </c>
      <c r="I12" s="67" t="str">
        <f>IF(Flowchart!$D$49="C", 3," ")</f>
        <v xml:space="preserve"> </v>
      </c>
      <c r="K12" s="67" t="str">
        <f>IF(Flowchart!$D$49="D", 3," ")</f>
        <v xml:space="preserve"> </v>
      </c>
      <c r="M12" s="67" t="str">
        <f>IF(Flowchart!$D$49="T", 3," ")</f>
        <v xml:space="preserve"> </v>
      </c>
      <c r="P12" s="55"/>
      <c r="R12" s="55"/>
      <c r="T12" s="55"/>
      <c r="V12" s="55"/>
      <c r="X12" s="55"/>
      <c r="Z12" s="55"/>
      <c r="AB12" s="55">
        <v>3</v>
      </c>
    </row>
    <row r="13" spans="1:31" x14ac:dyDescent="0.2">
      <c r="A13" s="51" t="s">
        <v>208</v>
      </c>
      <c r="C13" s="55">
        <f>Flowchart!A44</f>
        <v>0</v>
      </c>
      <c r="E13" s="67" t="str">
        <f>IF(Flowchart!$D$44="A", 3," ")</f>
        <v xml:space="preserve"> </v>
      </c>
      <c r="G13" s="67" t="str">
        <f>IF(Flowchart!$D$44="B", 3," ")</f>
        <v xml:space="preserve"> </v>
      </c>
      <c r="I13" s="67" t="str">
        <f>IF(Flowchart!$D$44="C", 3," ")</f>
        <v xml:space="preserve"> </v>
      </c>
      <c r="K13" s="67" t="str">
        <f>IF(Flowchart!$D$44="D", 3," ")</f>
        <v xml:space="preserve"> </v>
      </c>
      <c r="M13" s="67" t="str">
        <f>IF(Flowchart!$D$44="T", 3," ")</f>
        <v xml:space="preserve"> </v>
      </c>
      <c r="P13" s="55"/>
      <c r="R13" s="55"/>
      <c r="T13" s="55">
        <v>3</v>
      </c>
      <c r="V13" s="55"/>
      <c r="X13" s="55"/>
      <c r="Z13" s="55"/>
      <c r="AB13" s="55"/>
    </row>
    <row r="14" spans="1:31" x14ac:dyDescent="0.2">
      <c r="A14" s="51" t="s">
        <v>163</v>
      </c>
      <c r="C14" s="55">
        <f>Flowchart!A29</f>
        <v>0</v>
      </c>
      <c r="E14" s="67" t="str">
        <f>IF(Flowchart!$D$29="A", 1," ")</f>
        <v xml:space="preserve"> </v>
      </c>
      <c r="G14" s="67" t="str">
        <f>IF(Flowchart!$D$29="B", 1," ")</f>
        <v xml:space="preserve"> </v>
      </c>
      <c r="I14" s="67" t="str">
        <f>IF(Flowchart!$D$29="C", 1," ")</f>
        <v xml:space="preserve"> </v>
      </c>
      <c r="K14" s="67" t="str">
        <f>IF(Flowchart!$D$29="D", 1," ")</f>
        <v xml:space="preserve"> </v>
      </c>
      <c r="M14" s="67" t="str">
        <f>IF(Flowchart!$D$29="T", 1," ")</f>
        <v xml:space="preserve"> </v>
      </c>
      <c r="P14" s="55"/>
      <c r="R14" s="55"/>
      <c r="T14" s="66">
        <v>4</v>
      </c>
      <c r="V14" s="55"/>
      <c r="X14" s="55"/>
      <c r="Z14" s="55"/>
      <c r="AB14" s="55"/>
    </row>
    <row r="15" spans="1:31" x14ac:dyDescent="0.2">
      <c r="A15" s="51" t="s">
        <v>162</v>
      </c>
      <c r="C15" s="55">
        <f>Flowchart!A24</f>
        <v>0</v>
      </c>
      <c r="E15" s="67" t="str">
        <f>IF(Flowchart!$D$24="A", 4," ")</f>
        <v xml:space="preserve"> </v>
      </c>
      <c r="G15" s="67" t="str">
        <f>IF(Flowchart!$D$24="B", 4," ")</f>
        <v xml:space="preserve"> </v>
      </c>
      <c r="I15" s="67" t="str">
        <f>IF(Flowchart!$D$24="C", 4," ")</f>
        <v xml:space="preserve"> </v>
      </c>
      <c r="K15" s="67" t="str">
        <f>IF(Flowchart!$D$24="D", 4," ")</f>
        <v xml:space="preserve"> </v>
      </c>
      <c r="M15" s="67" t="str">
        <f>IF(Flowchart!$D$24="T", 4," ")</f>
        <v xml:space="preserve"> </v>
      </c>
      <c r="P15" s="55"/>
      <c r="R15" s="55">
        <v>4</v>
      </c>
      <c r="T15" s="55"/>
      <c r="V15" s="55"/>
      <c r="X15" s="55"/>
      <c r="Z15" s="55"/>
      <c r="AB15" s="55"/>
    </row>
    <row r="16" spans="1:31" x14ac:dyDescent="0.2">
      <c r="A16" s="51" t="s">
        <v>253</v>
      </c>
      <c r="C16" s="55">
        <f>Flowchart!A34</f>
        <v>0</v>
      </c>
      <c r="E16" s="67" t="str">
        <f>IF(Flowchart!$D$34="A", 3," ")</f>
        <v xml:space="preserve"> </v>
      </c>
      <c r="G16" s="67" t="str">
        <f>IF(Flowchart!$D$34="B", 3," ")</f>
        <v xml:space="preserve"> </v>
      </c>
      <c r="I16" s="67" t="str">
        <f>IF(Flowchart!$D$34="C", 3," ")</f>
        <v xml:space="preserve"> </v>
      </c>
      <c r="K16" s="67" t="str">
        <f>IF(Flowchart!$D$34="D", 3," ")</f>
        <v xml:space="preserve"> </v>
      </c>
      <c r="M16" s="67" t="str">
        <f>IF(Flowchart!$D$29="T", 3," ")</f>
        <v xml:space="preserve"> </v>
      </c>
      <c r="P16" s="55"/>
      <c r="R16" s="55"/>
      <c r="T16" s="55"/>
      <c r="V16" s="55">
        <v>1</v>
      </c>
      <c r="X16" s="55"/>
      <c r="Z16" s="55"/>
      <c r="AB16" s="55"/>
    </row>
    <row r="17" spans="1:30" x14ac:dyDescent="0.2">
      <c r="A17" s="51" t="s">
        <v>254</v>
      </c>
      <c r="C17" s="55">
        <f>Flowchart!A39</f>
        <v>0</v>
      </c>
      <c r="E17" s="67" t="str">
        <f>IF(Flowchart!$D$39="A", 1," ")</f>
        <v xml:space="preserve"> </v>
      </c>
      <c r="G17" s="67" t="str">
        <f>IF(Flowchart!$D$39="B", 1," ")</f>
        <v xml:space="preserve"> </v>
      </c>
      <c r="I17" s="67" t="str">
        <f>IF(Flowchart!$D$39="C", 1," ")</f>
        <v xml:space="preserve"> </v>
      </c>
      <c r="K17" s="67" t="str">
        <f>IF(Flowchart!$D$39="D", 1," ")</f>
        <v xml:space="preserve"> </v>
      </c>
      <c r="M17" s="67" t="str">
        <f>IF(Flowchart!$D$39="T", 1," ")</f>
        <v xml:space="preserve"> </v>
      </c>
      <c r="O17" s="51">
        <f>SUM(E12:M17)</f>
        <v>0</v>
      </c>
    </row>
    <row r="18" spans="1:30" x14ac:dyDescent="0.2">
      <c r="C18" s="55"/>
      <c r="E18" s="67"/>
      <c r="G18" s="67"/>
      <c r="I18" s="67"/>
      <c r="K18" s="67"/>
      <c r="M18" s="67"/>
    </row>
    <row r="19" spans="1:30" x14ac:dyDescent="0.2">
      <c r="A19" s="51" t="s">
        <v>212</v>
      </c>
      <c r="C19" s="55">
        <f>Flowchart!H49</f>
        <v>0</v>
      </c>
      <c r="E19" s="67" t="str">
        <f>IF(Flowchart!$K$49="A", 3," ")</f>
        <v xml:space="preserve"> </v>
      </c>
      <c r="G19" s="67" t="str">
        <f>IF(Flowchart!$K$49="B", 3," ")</f>
        <v xml:space="preserve"> </v>
      </c>
      <c r="I19" s="67" t="str">
        <f>IF(Flowchart!$K$49="C", 3," ")</f>
        <v xml:space="preserve"> </v>
      </c>
      <c r="K19" s="67" t="str">
        <f>IF(Flowchart!$K$49="D", 3," ")</f>
        <v xml:space="preserve"> </v>
      </c>
      <c r="M19" s="67" t="str">
        <f>IF(Flowchart!$K$49="T", 3," ")</f>
        <v xml:space="preserve"> </v>
      </c>
      <c r="P19" s="55"/>
      <c r="R19" s="55"/>
      <c r="T19" s="55"/>
      <c r="V19" s="55"/>
      <c r="X19" s="55"/>
      <c r="Z19" s="55"/>
      <c r="AB19" s="55">
        <v>3</v>
      </c>
    </row>
    <row r="20" spans="1:30" x14ac:dyDescent="0.2">
      <c r="A20" s="51" t="s">
        <v>14</v>
      </c>
      <c r="C20" s="55">
        <f>Flowchart!H29</f>
        <v>0</v>
      </c>
      <c r="E20" s="67" t="str">
        <f>IF(Flowchart!$K$29="A", 4," ")</f>
        <v xml:space="preserve"> </v>
      </c>
      <c r="G20" s="67" t="str">
        <f>IF(Flowchart!$K$29="B", 4," ")</f>
        <v xml:space="preserve"> </v>
      </c>
      <c r="I20" s="67" t="str">
        <f>IF(Flowchart!$K$29="C", 4," ")</f>
        <v xml:space="preserve"> </v>
      </c>
      <c r="K20" s="67" t="str">
        <f>IF(Flowchart!$K$29="D", 4," ")</f>
        <v xml:space="preserve"> </v>
      </c>
      <c r="M20" s="67" t="str">
        <f>IF(Flowchart!$K$29="T", 4," ")</f>
        <v xml:space="preserve"> </v>
      </c>
      <c r="P20" s="55"/>
      <c r="R20" s="55"/>
      <c r="T20" s="55">
        <v>3</v>
      </c>
      <c r="V20" s="55"/>
      <c r="X20" s="55"/>
      <c r="Z20" s="55"/>
      <c r="AB20" s="55"/>
    </row>
    <row r="21" spans="1:30" x14ac:dyDescent="0.2">
      <c r="A21" s="51" t="s">
        <v>164</v>
      </c>
      <c r="C21" s="55">
        <f>Flowchart!H24</f>
        <v>0</v>
      </c>
      <c r="E21" s="67" t="str">
        <f>IF(Flowchart!$K$24="A", 4," ")</f>
        <v xml:space="preserve"> </v>
      </c>
      <c r="G21" s="67" t="str">
        <f>IF(Flowchart!$K$24="B", 4," ")</f>
        <v xml:space="preserve"> </v>
      </c>
      <c r="I21" s="67" t="str">
        <f>IF(Flowchart!$K$24="C",4," ")</f>
        <v xml:space="preserve"> </v>
      </c>
      <c r="K21" s="67" t="str">
        <f>IF(Flowchart!$K$24="D", 4," ")</f>
        <v xml:space="preserve"> </v>
      </c>
      <c r="M21" s="67" t="str">
        <f>IF(Flowchart!$K$24="T", 4," ")</f>
        <v xml:space="preserve"> </v>
      </c>
      <c r="P21" s="55"/>
      <c r="R21" s="55">
        <v>4</v>
      </c>
      <c r="T21" s="55"/>
      <c r="V21" s="55"/>
      <c r="X21" s="55"/>
      <c r="Z21" s="55"/>
      <c r="AB21" s="55"/>
    </row>
    <row r="22" spans="1:30" x14ac:dyDescent="0.2">
      <c r="A22" s="51" t="s">
        <v>175</v>
      </c>
      <c r="C22" s="55">
        <f>Flowchart!H34</f>
        <v>0</v>
      </c>
      <c r="E22" s="67" t="str">
        <f>IF(Flowchart!$K$34="A", 1," ")</f>
        <v xml:space="preserve"> </v>
      </c>
      <c r="G22" s="67" t="str">
        <f>IF(Flowchart!$K$34="B",1," ")</f>
        <v xml:space="preserve"> </v>
      </c>
      <c r="I22" s="67" t="str">
        <f>IF(Flowchart!$K$34="C", 1," ")</f>
        <v xml:space="preserve"> </v>
      </c>
      <c r="K22" s="67" t="str">
        <f>IF(Flowchart!$K$34="D", 1," ")</f>
        <v xml:space="preserve"> </v>
      </c>
      <c r="M22" s="67" t="str">
        <f>IF(Flowchart!$K$34="T", 1," ")</f>
        <v xml:space="preserve"> </v>
      </c>
      <c r="P22" s="55"/>
      <c r="R22" s="55"/>
      <c r="T22" s="55"/>
      <c r="V22" s="55">
        <v>1</v>
      </c>
      <c r="X22" s="55"/>
      <c r="Z22" s="55"/>
      <c r="AB22" s="55"/>
    </row>
    <row r="23" spans="1:30" x14ac:dyDescent="0.2">
      <c r="O23" s="51">
        <f>SUM(E19:M22)</f>
        <v>0</v>
      </c>
    </row>
    <row r="24" spans="1:30" x14ac:dyDescent="0.2">
      <c r="A24" s="51" t="s">
        <v>165</v>
      </c>
      <c r="C24" s="55">
        <f>Flowchart!O39</f>
        <v>0</v>
      </c>
      <c r="E24" s="67" t="str">
        <f>IF(Flowchart!$R$39="A", 3," ")</f>
        <v xml:space="preserve"> </v>
      </c>
      <c r="G24" s="67" t="str">
        <f>IF(Flowchart!$R$39="B", 3," ")</f>
        <v xml:space="preserve"> </v>
      </c>
      <c r="I24" s="67" t="str">
        <f>IF(Flowchart!$R$39="C", 3," ")</f>
        <v xml:space="preserve"> </v>
      </c>
      <c r="K24" s="67" t="str">
        <f>IF(Flowchart!$R$39="D", 3," ")</f>
        <v xml:space="preserve"> </v>
      </c>
      <c r="M24" s="67" t="str">
        <f>IF(Flowchart!$R$39="T", 3," ")</f>
        <v xml:space="preserve"> </v>
      </c>
      <c r="P24" s="55"/>
      <c r="R24" s="55"/>
      <c r="T24" s="55"/>
      <c r="V24" s="55">
        <v>3</v>
      </c>
      <c r="X24" s="55"/>
      <c r="Z24" s="55"/>
      <c r="AB24" s="55"/>
    </row>
    <row r="25" spans="1:30" x14ac:dyDescent="0.2">
      <c r="A25" s="51" t="s">
        <v>224</v>
      </c>
      <c r="C25" s="55">
        <f>Flowchart!O44</f>
        <v>0</v>
      </c>
      <c r="E25" s="67" t="str">
        <f>IF(Flowchart!$R$44="A", 1," ")</f>
        <v xml:space="preserve"> </v>
      </c>
      <c r="G25" s="67" t="str">
        <f>IF(Flowchart!$R$44="B", 3," ")</f>
        <v xml:space="preserve"> </v>
      </c>
      <c r="I25" s="67" t="str">
        <f>IF(Flowchart!$R$44="C", 1," ")</f>
        <v xml:space="preserve"> </v>
      </c>
      <c r="K25" s="67" t="str">
        <f>IF(Flowchart!$R$44="D", 1," ")</f>
        <v xml:space="preserve"> </v>
      </c>
      <c r="M25" s="67" t="str">
        <f>IF(Flowchart!$R$44="T", 1," ")</f>
        <v xml:space="preserve"> </v>
      </c>
      <c r="P25" s="55"/>
      <c r="R25" s="55"/>
      <c r="T25" s="55"/>
      <c r="V25" s="55">
        <v>1</v>
      </c>
      <c r="X25" s="55"/>
      <c r="Z25" s="55"/>
      <c r="AB25" s="55"/>
    </row>
    <row r="26" spans="1:30" x14ac:dyDescent="0.2">
      <c r="A26" s="51" t="s">
        <v>176</v>
      </c>
      <c r="C26" s="55">
        <f>Flowchart!O34</f>
        <v>0</v>
      </c>
      <c r="E26" s="67" t="str">
        <f>IF(Flowchart!$R$34="A", 2," ")</f>
        <v xml:space="preserve"> </v>
      </c>
      <c r="G26" s="67" t="str">
        <f>IF(Flowchart!$R$34="B", 2," ")</f>
        <v xml:space="preserve"> </v>
      </c>
      <c r="I26" s="67" t="str">
        <f>IF(Flowchart!$R$34="C",2," ")</f>
        <v xml:space="preserve"> </v>
      </c>
      <c r="K26" s="67" t="str">
        <f>IF(Flowchart!$R$34="D", 2," ")</f>
        <v xml:space="preserve"> </v>
      </c>
      <c r="M26" s="67" t="str">
        <f>IF(Flowchart!$R$34="T", 2," ")</f>
        <v xml:space="preserve"> </v>
      </c>
      <c r="P26" s="55"/>
      <c r="R26" s="55"/>
      <c r="T26" s="55"/>
      <c r="V26" s="55">
        <v>2</v>
      </c>
      <c r="X26" s="55"/>
      <c r="Z26" s="55"/>
      <c r="AB26" s="55"/>
    </row>
    <row r="27" spans="1:30" x14ac:dyDescent="0.2">
      <c r="A27" s="51" t="s">
        <v>225</v>
      </c>
      <c r="C27" s="55">
        <f>Flowchart!O29</f>
        <v>0</v>
      </c>
      <c r="E27" s="67" t="str">
        <f>IF(Flowchart!$R$29="A", 3," ")</f>
        <v xml:space="preserve"> </v>
      </c>
      <c r="G27" s="67" t="str">
        <f>IF(Flowchart!$R$29="B", 3," ")</f>
        <v xml:space="preserve"> </v>
      </c>
      <c r="I27" s="67" t="str">
        <f>IF(Flowchart!$R$29="C", 3," ")</f>
        <v xml:space="preserve"> </v>
      </c>
      <c r="K27" s="67" t="str">
        <f>IF(Flowchart!$R$29="D", 3," ")</f>
        <v xml:space="preserve"> </v>
      </c>
      <c r="M27" s="67" t="str">
        <f>IF(Flowchart!$R$29="T", 3," ")</f>
        <v xml:space="preserve"> </v>
      </c>
      <c r="P27" s="55"/>
      <c r="R27" s="55"/>
      <c r="T27" s="55"/>
      <c r="V27" s="55">
        <v>4.5</v>
      </c>
      <c r="X27" s="55">
        <v>0.5</v>
      </c>
      <c r="Z27" s="55"/>
      <c r="AB27" s="55"/>
    </row>
    <row r="28" spans="1:30" x14ac:dyDescent="0.2">
      <c r="A28" s="51" t="s">
        <v>226</v>
      </c>
      <c r="C28" s="55">
        <f>Flowchart!V29</f>
        <v>0</v>
      </c>
      <c r="E28" s="67" t="str">
        <f>IF(Flowchart!$Y$29="A", 3," ")</f>
        <v xml:space="preserve"> </v>
      </c>
      <c r="G28" s="67" t="str">
        <f>IF(Flowchart!$Y$29="B", 3," ")</f>
        <v xml:space="preserve"> </v>
      </c>
      <c r="I28" s="67" t="str">
        <f>IF(Flowchart!$Y$29="C", 3," ")</f>
        <v xml:space="preserve"> </v>
      </c>
      <c r="K28" s="67" t="str">
        <f>IF(Flowchart!$Y$29="D", 3," ")</f>
        <v xml:space="preserve"> </v>
      </c>
      <c r="M28" s="67" t="str">
        <f>IF(Flowchart!$Y$29="T", 3," ")</f>
        <v xml:space="preserve"> </v>
      </c>
      <c r="P28" s="55"/>
      <c r="R28" s="55"/>
      <c r="T28" s="55"/>
      <c r="V28" s="55"/>
      <c r="X28" s="55"/>
      <c r="Z28" s="55"/>
      <c r="AB28" s="55"/>
    </row>
    <row r="29" spans="1:30" x14ac:dyDescent="0.2">
      <c r="A29" s="51" t="s">
        <v>206</v>
      </c>
      <c r="C29" s="55">
        <f>Flowchart!O24</f>
        <v>0</v>
      </c>
      <c r="E29" s="67" t="str">
        <f>IF(Flowchart!$R$24="A", 4," ")</f>
        <v xml:space="preserve"> </v>
      </c>
      <c r="G29" s="67" t="str">
        <f>IF(Flowchart!$R$24="B", 4," ")</f>
        <v xml:space="preserve"> </v>
      </c>
      <c r="I29" s="67" t="str">
        <f>IF(Flowchart!$R$24="C",4," ")</f>
        <v xml:space="preserve"> </v>
      </c>
      <c r="K29" s="67" t="str">
        <f>IF(Flowchart!$R$24="D", 4," ")</f>
        <v xml:space="preserve"> </v>
      </c>
      <c r="M29" s="67" t="str">
        <f>IF(Flowchart!$R$24="T", 4," ")</f>
        <v xml:space="preserve"> </v>
      </c>
      <c r="P29" s="55"/>
      <c r="R29" s="55">
        <v>3</v>
      </c>
      <c r="T29" s="55"/>
      <c r="V29" s="55"/>
      <c r="X29" s="55"/>
      <c r="Z29" s="55"/>
      <c r="AB29" s="55"/>
    </row>
    <row r="30" spans="1:30" x14ac:dyDescent="0.2">
      <c r="O30" s="51">
        <f>SUM(E24:M29)</f>
        <v>0</v>
      </c>
      <c r="V30" s="51" t="s">
        <v>146</v>
      </c>
    </row>
    <row r="31" spans="1:30" x14ac:dyDescent="0.2">
      <c r="A31" s="51" t="s">
        <v>261</v>
      </c>
      <c r="C31" s="55">
        <f>Flowchart!V39</f>
        <v>0</v>
      </c>
      <c r="E31" s="67" t="str">
        <f>IF(Flowchart!$Y$39="A", 3," ")</f>
        <v xml:space="preserve"> </v>
      </c>
      <c r="G31" s="67" t="str">
        <f>IF(Flowchart!$Y$39="B", 3," ")</f>
        <v xml:space="preserve"> </v>
      </c>
      <c r="I31" s="67" t="str">
        <f>IF(Flowchart!$Y$39="C", 3," ")</f>
        <v xml:space="preserve"> </v>
      </c>
      <c r="K31" s="67" t="str">
        <f>IF(Flowchart!$Y$39="D", 3," ")</f>
        <v xml:space="preserve"> </v>
      </c>
      <c r="M31" s="67" t="str">
        <f>IF(Flowchart!$Y$39="T", 3," ")</f>
        <v xml:space="preserve"> </v>
      </c>
      <c r="P31" s="55"/>
      <c r="R31" s="55">
        <v>3</v>
      </c>
      <c r="T31" s="55"/>
      <c r="V31" s="55"/>
      <c r="X31" s="55"/>
      <c r="Z31" s="55"/>
      <c r="AB31" s="55"/>
      <c r="AD31" s="60"/>
    </row>
    <row r="32" spans="1:30" x14ac:dyDescent="0.2">
      <c r="A32" s="51" t="s">
        <v>251</v>
      </c>
      <c r="C32" s="55">
        <f>Flowchart!V44</f>
        <v>0</v>
      </c>
      <c r="E32" s="67" t="str">
        <f>IF(Flowchart!$Y$44="A", 3," ")</f>
        <v xml:space="preserve"> </v>
      </c>
      <c r="G32" s="67" t="str">
        <f>IF(Flowchart!$Y$44="B", 3," ")</f>
        <v xml:space="preserve"> </v>
      </c>
      <c r="I32" s="67" t="str">
        <f>IF(Flowchart!$Y$44="C", 3," ")</f>
        <v xml:space="preserve"> </v>
      </c>
      <c r="K32" s="67" t="str">
        <f>IF(Flowchart!$Y$44="D", 3," ")</f>
        <v xml:space="preserve"> </v>
      </c>
      <c r="M32" s="67" t="str">
        <f>IF(Flowchart!$Y$44="T", 3," ")</f>
        <v xml:space="preserve"> </v>
      </c>
      <c r="P32" s="55" t="str">
        <f>VLOOKUP(Flowchart!V43,Page3!A3:B8,2)</f>
        <v>Elective</v>
      </c>
      <c r="R32" s="55"/>
      <c r="T32" s="55">
        <v>3</v>
      </c>
      <c r="V32" s="55"/>
      <c r="X32" s="55"/>
      <c r="Z32" s="55"/>
      <c r="AB32" s="55"/>
    </row>
    <row r="33" spans="1:28" x14ac:dyDescent="0.2">
      <c r="A33" s="51" t="s">
        <v>255</v>
      </c>
      <c r="C33" s="55">
        <f>Flowchart!V49</f>
        <v>0</v>
      </c>
      <c r="E33" s="67" t="str">
        <f>IF(Flowchart!$Y$49="A", 1," ")</f>
        <v xml:space="preserve"> </v>
      </c>
      <c r="G33" s="67" t="str">
        <f>IF(Flowchart!$Y$49="B", 1," ")</f>
        <v xml:space="preserve"> </v>
      </c>
      <c r="I33" s="67" t="str">
        <f>IF(Flowchart!$Y$49="C",1," ")</f>
        <v xml:space="preserve"> </v>
      </c>
      <c r="K33" s="67" t="str">
        <f>IF(Flowchart!$Y$49="D", 1," ")</f>
        <v xml:space="preserve"> </v>
      </c>
      <c r="M33" s="67" t="str">
        <f>IF(Flowchart!$Y$49="T",1," ")</f>
        <v xml:space="preserve"> </v>
      </c>
      <c r="P33" s="55" t="str">
        <f>Flowchart!V48</f>
        <v>Lab Elective</v>
      </c>
      <c r="R33" s="55"/>
      <c r="T33" s="55">
        <v>1</v>
      </c>
      <c r="V33" s="55"/>
      <c r="X33" s="55"/>
      <c r="Z33" s="55"/>
      <c r="AB33" s="55"/>
    </row>
    <row r="34" spans="1:28" x14ac:dyDescent="0.2">
      <c r="A34" s="51" t="s">
        <v>166</v>
      </c>
      <c r="C34" s="55">
        <f>Flowchart!V34</f>
        <v>0</v>
      </c>
      <c r="E34" s="67" t="str">
        <f>IF(Flowchart!$Y$34="A", 3," ")</f>
        <v xml:space="preserve"> </v>
      </c>
      <c r="G34" s="67" t="str">
        <f>IF(Flowchart!$Y$34="B", 3," ")</f>
        <v xml:space="preserve"> </v>
      </c>
      <c r="I34" s="67" t="str">
        <f>IF(Flowchart!$Y$34="C", 3," ")</f>
        <v xml:space="preserve"> </v>
      </c>
      <c r="K34" s="67" t="str">
        <f>IF(Flowchart!$Y$34="D", 3," ")</f>
        <v xml:space="preserve"> </v>
      </c>
      <c r="M34" s="67" t="str">
        <f>IF(Flowchart!$Y$34="T", 3," ")</f>
        <v xml:space="preserve"> </v>
      </c>
      <c r="P34" s="55"/>
      <c r="R34" s="55"/>
      <c r="T34" s="55"/>
      <c r="V34" s="55">
        <v>2.5</v>
      </c>
      <c r="W34" s="51">
        <v>0.5</v>
      </c>
      <c r="X34" s="55">
        <v>0.5</v>
      </c>
      <c r="Z34" s="55"/>
      <c r="AB34" s="55"/>
    </row>
    <row r="35" spans="1:28" x14ac:dyDescent="0.2">
      <c r="A35" s="51" t="s">
        <v>227</v>
      </c>
      <c r="C35" s="55">
        <f>Flowchart!V24</f>
        <v>0</v>
      </c>
      <c r="E35" s="67" t="str">
        <f>IF(Flowchart!$Y$24="A",4," ")</f>
        <v xml:space="preserve"> </v>
      </c>
      <c r="G35" s="67" t="str">
        <f>IF(Flowchart!$Y$24="B", 4," ")</f>
        <v xml:space="preserve"> </v>
      </c>
      <c r="I35" s="67" t="str">
        <f>IF(Flowchart!$Y$24="C", 4," ")</f>
        <v xml:space="preserve"> </v>
      </c>
      <c r="K35" s="67" t="str">
        <f>IF(Flowchart!$Y$24="D",4," ")</f>
        <v xml:space="preserve"> </v>
      </c>
      <c r="M35" s="67" t="str">
        <f>IF(Flowchart!$Y$24="T", 4," ")</f>
        <v xml:space="preserve"> </v>
      </c>
      <c r="P35" s="55"/>
      <c r="R35" s="55">
        <v>4</v>
      </c>
      <c r="T35" s="55"/>
      <c r="V35" s="55"/>
      <c r="X35" s="55"/>
      <c r="Z35" s="55"/>
      <c r="AB35" s="55"/>
    </row>
    <row r="36" spans="1:28" x14ac:dyDescent="0.2">
      <c r="A36" s="51" t="s">
        <v>207</v>
      </c>
      <c r="C36" s="55">
        <f>Flowchart!AC54</f>
        <v>0</v>
      </c>
      <c r="E36" s="67" t="str">
        <f>IF(Flowchart!$AF$54="A", 1," ")</f>
        <v xml:space="preserve"> </v>
      </c>
      <c r="G36" s="67" t="str">
        <f>IF(Flowchart!$AF$54="B", 1," ")</f>
        <v xml:space="preserve"> </v>
      </c>
      <c r="I36" s="67" t="str">
        <f>IF(Flowchart!$AF$54="C", 1," ")</f>
        <v xml:space="preserve"> </v>
      </c>
      <c r="K36" s="67" t="str">
        <f>IF(Flowchart!$AF$54="D", 1," ")</f>
        <v xml:space="preserve"> </v>
      </c>
      <c r="M36" s="67" t="str">
        <f>IF(Flowchart!$AF$54="T",1," ")</f>
        <v xml:space="preserve"> </v>
      </c>
      <c r="P36" s="55"/>
      <c r="R36" s="55"/>
      <c r="T36" s="55"/>
      <c r="V36" s="55"/>
      <c r="X36" s="55">
        <v>1</v>
      </c>
      <c r="Z36" s="55"/>
      <c r="AB36" s="55"/>
    </row>
    <row r="37" spans="1:28" x14ac:dyDescent="0.2">
      <c r="C37" s="71"/>
      <c r="E37" s="70"/>
      <c r="G37" s="70"/>
      <c r="I37" s="70"/>
      <c r="K37" s="70"/>
      <c r="M37" s="70"/>
      <c r="O37" s="51">
        <f>SUM(E31:M36)</f>
        <v>0</v>
      </c>
    </row>
    <row r="38" spans="1:28" x14ac:dyDescent="0.2">
      <c r="A38" s="51" t="s">
        <v>273</v>
      </c>
      <c r="C38" s="55">
        <f>Flowchart!AC44</f>
        <v>0</v>
      </c>
      <c r="E38" s="67" t="str">
        <f>IF(Flowchart!$AF$44="A", 3," ")</f>
        <v xml:space="preserve"> </v>
      </c>
      <c r="G38" s="67" t="str">
        <f>IF(Flowchart!$AF$44="B", 3," ")</f>
        <v xml:space="preserve"> </v>
      </c>
      <c r="I38" s="67" t="str">
        <f>IF(Flowchart!$AF$44="C", 3," ")</f>
        <v xml:space="preserve"> </v>
      </c>
      <c r="K38" s="67" t="str">
        <f>IF(Flowchart!$AF$44="D", 3," ")</f>
        <v xml:space="preserve"> </v>
      </c>
      <c r="M38" s="67" t="str">
        <f>IF(Flowchart!$AF$44="T", 3," ")</f>
        <v xml:space="preserve"> </v>
      </c>
      <c r="P38" s="55"/>
      <c r="R38" s="55"/>
      <c r="T38" s="55"/>
      <c r="V38" s="55">
        <v>2</v>
      </c>
      <c r="X38" s="55">
        <v>1</v>
      </c>
      <c r="Z38" s="55"/>
      <c r="AB38" s="55"/>
    </row>
    <row r="39" spans="1:28" x14ac:dyDescent="0.2">
      <c r="A39" s="51" t="s">
        <v>167</v>
      </c>
      <c r="C39" s="55">
        <f>Flowchart!AC34</f>
        <v>0</v>
      </c>
      <c r="E39" s="67" t="str">
        <f>IF(Flowchart!$AF$34="A", 3," ")</f>
        <v xml:space="preserve"> </v>
      </c>
      <c r="G39" s="67" t="str">
        <f>IF(Flowchart!$AF$34="B", 3," ")</f>
        <v xml:space="preserve"> </v>
      </c>
      <c r="I39" s="67" t="str">
        <f>IF(Flowchart!$AF$34="C", 3," ")</f>
        <v xml:space="preserve"> </v>
      </c>
      <c r="K39" s="67" t="str">
        <f>IF(Flowchart!$AF$34="D", 3," ")</f>
        <v xml:space="preserve"> </v>
      </c>
      <c r="M39" s="67" t="str">
        <f>IF(Flowchart!$AF$34="T", 3," ")</f>
        <v xml:space="preserve"> </v>
      </c>
      <c r="P39" s="55"/>
      <c r="R39" s="55"/>
      <c r="T39" s="55"/>
      <c r="V39" s="55">
        <v>2</v>
      </c>
      <c r="X39" s="55">
        <v>1</v>
      </c>
      <c r="Z39" s="55"/>
      <c r="AB39" s="55"/>
    </row>
    <row r="40" spans="1:28" x14ac:dyDescent="0.2">
      <c r="A40" s="51" t="s">
        <v>249</v>
      </c>
      <c r="C40" s="55">
        <f>Flowchart!AJ39</f>
        <v>0</v>
      </c>
      <c r="E40" s="67" t="str">
        <f>IF(Flowchart!$AM$39="A", 2," ")</f>
        <v xml:space="preserve"> </v>
      </c>
      <c r="G40" s="67" t="str">
        <f>IF(Flowchart!$AM$39="B", 2," ")</f>
        <v xml:space="preserve"> </v>
      </c>
      <c r="I40" s="67" t="str">
        <f>IF(Flowchart!$AM$39="C", 2," ")</f>
        <v xml:space="preserve"> </v>
      </c>
      <c r="K40" s="67" t="str">
        <f>IF(Flowchart!$AM$39="D", 2," ")</f>
        <v xml:space="preserve"> </v>
      </c>
      <c r="M40" s="67" t="str">
        <f>IF(Flowchart!$AM$39="T", 3," ")</f>
        <v xml:space="preserve"> </v>
      </c>
      <c r="P40" s="55"/>
      <c r="R40" s="55"/>
      <c r="T40" s="55"/>
      <c r="V40" s="55">
        <v>3</v>
      </c>
      <c r="X40" s="55"/>
      <c r="Z40" s="55"/>
      <c r="AB40" s="55"/>
    </row>
    <row r="41" spans="1:28" x14ac:dyDescent="0.2">
      <c r="A41" s="51" t="s">
        <v>181</v>
      </c>
      <c r="C41" s="55">
        <f>Flowchart!AJ44</f>
        <v>0</v>
      </c>
      <c r="E41" s="67" t="str">
        <f>IF(Flowchart!$AM$44="A", 1," ")</f>
        <v xml:space="preserve"> </v>
      </c>
      <c r="G41" s="67" t="str">
        <f>IF(Flowchart!$AM$44="B",1," ")</f>
        <v xml:space="preserve"> </v>
      </c>
      <c r="I41" s="67" t="str">
        <f>IF(Flowchart!$AM$44="C", 1," ")</f>
        <v xml:space="preserve"> </v>
      </c>
      <c r="K41" s="67" t="str">
        <f>IF(Flowchart!$AM$44="D", 1," ")</f>
        <v xml:space="preserve"> </v>
      </c>
      <c r="M41" s="67" t="str">
        <f>IF(Flowchart!$AM$44="T", 1," ")</f>
        <v xml:space="preserve"> </v>
      </c>
      <c r="P41" s="55"/>
      <c r="R41" s="55"/>
      <c r="T41" s="55"/>
      <c r="V41" s="55">
        <v>1</v>
      </c>
      <c r="X41" s="55"/>
      <c r="Z41" s="55"/>
      <c r="AB41" s="55"/>
    </row>
    <row r="42" spans="1:28" x14ac:dyDescent="0.2">
      <c r="A42" s="51" t="s">
        <v>168</v>
      </c>
      <c r="C42" s="55">
        <f>Flowchart!AJ49</f>
        <v>0</v>
      </c>
      <c r="E42" s="67" t="str">
        <f>IF(Flowchart!$AM$49="A", 3," ")</f>
        <v xml:space="preserve"> </v>
      </c>
      <c r="G42" s="67" t="str">
        <f>IF(Flowchart!$AM$49="B", 3," ")</f>
        <v xml:space="preserve"> </v>
      </c>
      <c r="I42" s="67" t="str">
        <f>IF(Flowchart!$AM$49="C", 3," ")</f>
        <v xml:space="preserve"> </v>
      </c>
      <c r="K42" s="67" t="str">
        <f>IF(Flowchart!$AM$49="D", 3," ")</f>
        <v xml:space="preserve"> </v>
      </c>
      <c r="M42" s="67" t="str">
        <f>IF(Flowchart!$AM$49="T", 3," ")</f>
        <v xml:space="preserve"> </v>
      </c>
      <c r="P42" s="55"/>
      <c r="R42" s="55"/>
      <c r="T42" s="55"/>
      <c r="V42" s="55">
        <v>2</v>
      </c>
      <c r="X42" s="55">
        <v>1</v>
      </c>
      <c r="Z42" s="55"/>
      <c r="AB42" s="55"/>
    </row>
    <row r="43" spans="1:28" x14ac:dyDescent="0.2">
      <c r="A43" s="51" t="s">
        <v>169</v>
      </c>
      <c r="C43" s="55">
        <f>Flowchart!AC29</f>
        <v>0</v>
      </c>
      <c r="E43" s="67" t="str">
        <f>IF(Flowchart!$AF$29="A", 3," ")</f>
        <v xml:space="preserve"> </v>
      </c>
      <c r="G43" s="67" t="str">
        <f>IF(Flowchart!$AF$29="B", 3," ")</f>
        <v xml:space="preserve"> </v>
      </c>
      <c r="I43" s="67" t="str">
        <f>IF(Flowchart!$AF$29="C", 3," ")</f>
        <v xml:space="preserve"> </v>
      </c>
      <c r="K43" s="67" t="str">
        <f>IF(Flowchart!$AF$29="D", 3," ")</f>
        <v xml:space="preserve"> </v>
      </c>
      <c r="M43" s="67" t="str">
        <f>IF(Flowchart!$AF$29="T", 3," ")</f>
        <v xml:space="preserve"> </v>
      </c>
      <c r="P43" s="55"/>
      <c r="R43" s="55"/>
      <c r="T43" s="55"/>
      <c r="V43" s="55">
        <v>4</v>
      </c>
      <c r="X43" s="55"/>
      <c r="Z43" s="55"/>
      <c r="AB43" s="55"/>
    </row>
    <row r="44" spans="1:28" x14ac:dyDescent="0.2">
      <c r="O44" s="51">
        <f>SUM(E38:M43)</f>
        <v>0</v>
      </c>
    </row>
    <row r="45" spans="1:28" x14ac:dyDescent="0.2">
      <c r="A45" s="51" t="s">
        <v>170</v>
      </c>
      <c r="C45" s="55">
        <f>Flowchart!AJ34</f>
        <v>0</v>
      </c>
      <c r="E45" s="67" t="str">
        <f>IF(Flowchart!$AM$34="A", 3," ")</f>
        <v xml:space="preserve"> </v>
      </c>
      <c r="G45" s="67" t="str">
        <f>IF(Flowchart!$AM$34="B", 3," ")</f>
        <v xml:space="preserve"> </v>
      </c>
      <c r="I45" s="67" t="str">
        <f>IF(Flowchart!$AM$34="C", 3," ")</f>
        <v xml:space="preserve"> </v>
      </c>
      <c r="K45" s="67" t="str">
        <f>IF(Flowchart!$AM$34="D", 3," ")</f>
        <v xml:space="preserve"> </v>
      </c>
      <c r="M45" s="67" t="str">
        <f>IF(Flowchart!$AM$34="T", 3," ")</f>
        <v xml:space="preserve"> </v>
      </c>
      <c r="P45" s="55"/>
      <c r="R45" s="55"/>
      <c r="T45" s="55"/>
      <c r="V45" s="55">
        <v>1</v>
      </c>
      <c r="X45" s="55">
        <v>2</v>
      </c>
      <c r="Z45" s="55"/>
      <c r="AB45" s="55"/>
    </row>
    <row r="46" spans="1:28" x14ac:dyDescent="0.2">
      <c r="A46" s="51" t="s">
        <v>171</v>
      </c>
      <c r="C46" s="55">
        <f>Flowchart!$AQ$34</f>
        <v>0</v>
      </c>
      <c r="E46" s="67" t="str">
        <f>IF(Flowchart!$AT$34="A", 3," ")</f>
        <v xml:space="preserve"> </v>
      </c>
      <c r="G46" s="67" t="str">
        <f>IF(Flowchart!$AT$34="B", 3," ")</f>
        <v xml:space="preserve"> </v>
      </c>
      <c r="I46" s="67" t="str">
        <f>IF(Flowchart!$AT$34="C", 3," ")</f>
        <v xml:space="preserve"> </v>
      </c>
      <c r="K46" s="67" t="str">
        <f>IF(Flowchart!$AT$34="D", 3," ")</f>
        <v xml:space="preserve"> </v>
      </c>
      <c r="M46" s="67" t="str">
        <f>IF(Flowchart!$AT$34="T", 3," ")</f>
        <v xml:space="preserve"> </v>
      </c>
      <c r="P46" s="55"/>
      <c r="R46" s="55"/>
      <c r="T46" s="55"/>
      <c r="V46" s="55">
        <v>1</v>
      </c>
      <c r="X46" s="55">
        <v>2</v>
      </c>
      <c r="Z46" s="55"/>
      <c r="AB46" s="55"/>
    </row>
    <row r="47" spans="1:28" x14ac:dyDescent="0.2">
      <c r="A47" s="51" t="s">
        <v>172</v>
      </c>
      <c r="C47" s="59">
        <f>Flowchart!$AJ$29</f>
        <v>0</v>
      </c>
      <c r="E47" s="67" t="str">
        <f>IF(Flowchart!$AM$29="A", 3," ")</f>
        <v xml:space="preserve"> </v>
      </c>
      <c r="G47" s="67" t="str">
        <f>IF(Flowchart!$AM$29="B", 3," ")</f>
        <v xml:space="preserve"> </v>
      </c>
      <c r="I47" s="67" t="str">
        <f>IF(Flowchart!$AM$29="C", 3," ")</f>
        <v xml:space="preserve"> </v>
      </c>
      <c r="K47" s="67" t="str">
        <f>IF(Flowchart!$AM$29="D", 3," ")</f>
        <v xml:space="preserve"> </v>
      </c>
      <c r="M47" s="67" t="str">
        <f>IF(Flowchart!$AM$29="T", 3," ")</f>
        <v xml:space="preserve"> </v>
      </c>
      <c r="P47" s="55"/>
      <c r="R47" s="55"/>
      <c r="T47" s="55"/>
      <c r="V47" s="55"/>
      <c r="X47" s="55">
        <v>3</v>
      </c>
      <c r="Z47" s="55"/>
      <c r="AB47" s="55"/>
    </row>
    <row r="48" spans="1:28" x14ac:dyDescent="0.2">
      <c r="A48" s="51" t="s">
        <v>177</v>
      </c>
      <c r="C48" s="55">
        <f>Flowchart!AQ39</f>
        <v>0</v>
      </c>
      <c r="E48" s="67" t="str">
        <f>IF(Flowchart!$AT$39="A", 3," ")</f>
        <v xml:space="preserve"> </v>
      </c>
      <c r="G48" s="67" t="str">
        <f>IF(Flowchart!$AT$39="B", 3," ")</f>
        <v xml:space="preserve"> </v>
      </c>
      <c r="I48" s="67" t="str">
        <f>IF(Flowchart!$AT$39="C", 3," ")</f>
        <v xml:space="preserve"> </v>
      </c>
      <c r="K48" s="67" t="str">
        <f>IF(Flowchart!$AT$39="D", 3," ")</f>
        <v xml:space="preserve"> </v>
      </c>
      <c r="M48" s="67" t="str">
        <f>IF(Flowchart!$AT$39="T", 3," ")</f>
        <v xml:space="preserve"> </v>
      </c>
      <c r="P48" s="55"/>
      <c r="R48" s="55"/>
      <c r="T48" s="55"/>
      <c r="V48" s="55"/>
      <c r="X48" s="55">
        <v>3</v>
      </c>
      <c r="Z48" s="55"/>
      <c r="AB48" s="55"/>
    </row>
    <row r="49" spans="1:28" x14ac:dyDescent="0.2">
      <c r="A49" s="51" t="s">
        <v>178</v>
      </c>
      <c r="C49" s="55">
        <f>Flowchart!$AC$24</f>
        <v>0</v>
      </c>
      <c r="E49" s="67" t="str">
        <f>IF(Flowchart!AF24="A", 3," ")</f>
        <v xml:space="preserve"> </v>
      </c>
      <c r="G49" s="67" t="str">
        <f>IF(Flowchart!AF24="B", 3," ")</f>
        <v xml:space="preserve"> </v>
      </c>
      <c r="I49" s="67" t="str">
        <f>IF(Flowchart!AF24="C", 3," ")</f>
        <v xml:space="preserve"> </v>
      </c>
      <c r="K49" s="67" t="str">
        <f>IF(Flowchart!AF24="D", 3," ")</f>
        <v xml:space="preserve"> </v>
      </c>
      <c r="M49" s="67" t="str">
        <f>IF(Flowchart!AF24="T", 3," ")</f>
        <v xml:space="preserve"> </v>
      </c>
      <c r="P49" s="55"/>
      <c r="R49" s="56"/>
      <c r="T49" s="56"/>
      <c r="V49" s="56">
        <v>2</v>
      </c>
      <c r="X49" s="56">
        <v>1</v>
      </c>
      <c r="Z49" s="56"/>
      <c r="AB49" s="56"/>
    </row>
    <row r="50" spans="1:28" x14ac:dyDescent="0.2">
      <c r="O50" s="51">
        <f>SUM(E45:M49)</f>
        <v>0</v>
      </c>
    </row>
    <row r="51" spans="1:28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x14ac:dyDescent="0.2">
      <c r="A52" s="51" t="s">
        <v>173</v>
      </c>
      <c r="C52" s="55">
        <f>Flowchart!AX39</f>
        <v>0</v>
      </c>
      <c r="E52" s="67" t="str">
        <f>IF(Flowchart!$BA$39="A", 3," ")</f>
        <v xml:space="preserve"> </v>
      </c>
      <c r="G52" s="67" t="str">
        <f>IF(Flowchart!$BA$39="B", 3," ")</f>
        <v xml:space="preserve"> </v>
      </c>
      <c r="I52" s="67" t="str">
        <f>IF(Flowchart!$BA$39="C", 3," ")</f>
        <v xml:space="preserve"> </v>
      </c>
      <c r="K52" s="67" t="str">
        <f>IF(Flowchart!$BA$39="D", 3," ")</f>
        <v xml:space="preserve"> </v>
      </c>
      <c r="M52" s="67" t="str">
        <f>IF(Flowchart!$BA$39="T", 3," ")</f>
        <v xml:space="preserve"> </v>
      </c>
      <c r="P52" s="55"/>
      <c r="R52" s="55"/>
      <c r="T52" s="55"/>
      <c r="V52" s="55"/>
      <c r="X52" s="55">
        <v>3</v>
      </c>
      <c r="Z52" s="55"/>
      <c r="AB52" s="55"/>
    </row>
    <row r="53" spans="1:28" x14ac:dyDescent="0.2">
      <c r="A53" s="51" t="s">
        <v>174</v>
      </c>
      <c r="C53" s="55">
        <f>Flowchart!AX24</f>
        <v>0</v>
      </c>
      <c r="E53" s="67" t="str">
        <f>IF(Flowchart!$BA$24="A", 3," ")</f>
        <v xml:space="preserve"> </v>
      </c>
      <c r="G53" s="67" t="str">
        <f>IF(Flowchart!$BA$24="B", 3," ")</f>
        <v xml:space="preserve"> </v>
      </c>
      <c r="I53" s="67" t="str">
        <f>IF(Flowchart!$BA$24="C", 3," ")</f>
        <v xml:space="preserve"> </v>
      </c>
      <c r="K53" s="67" t="str">
        <f>IF(Flowchart!$BA$24="D", 3," ")</f>
        <v xml:space="preserve"> </v>
      </c>
      <c r="M53" s="67" t="str">
        <f>IF(Flowchart!$BA$24="T", 3," ")</f>
        <v xml:space="preserve"> </v>
      </c>
      <c r="P53" s="55"/>
      <c r="R53" s="55"/>
      <c r="T53" s="55"/>
      <c r="V53" s="55">
        <v>3</v>
      </c>
      <c r="X53" s="55"/>
      <c r="Z53" s="55"/>
      <c r="AB53" s="55"/>
    </row>
    <row r="54" spans="1:28" ht="12.75" customHeight="1" x14ac:dyDescent="0.2">
      <c r="A54" s="51" t="s">
        <v>179</v>
      </c>
      <c r="C54" s="55">
        <f>Flowchart!AQ29</f>
        <v>0</v>
      </c>
      <c r="E54" s="67" t="str">
        <f>IF(Flowchart!$AT$29="A", 2," ")</f>
        <v xml:space="preserve"> </v>
      </c>
      <c r="G54" s="67" t="str">
        <f>IF(Flowchart!$AT$29="B", 2," ")</f>
        <v xml:space="preserve"> </v>
      </c>
      <c r="I54" s="67" t="str">
        <f>IF(Flowchart!$AT$29="C", 2," ")</f>
        <v xml:space="preserve"> </v>
      </c>
      <c r="K54" s="67" t="str">
        <f>IF(Flowchart!$AT$29="D", 2," ")</f>
        <v xml:space="preserve"> </v>
      </c>
      <c r="M54" s="67" t="str">
        <f>IF(Flowchart!$AT$29="T", 2," ")</f>
        <v xml:space="preserve"> </v>
      </c>
      <c r="P54" s="55" t="str">
        <f>VLOOKUP(Flowchart!AQ28,Page3!A32:B34,2)</f>
        <v>Project Elective 1</v>
      </c>
      <c r="R54" s="55"/>
      <c r="T54" s="55"/>
      <c r="V54" s="55"/>
      <c r="X54" s="55">
        <v>2</v>
      </c>
      <c r="Z54" s="55"/>
      <c r="AB54" s="55"/>
    </row>
    <row r="55" spans="1:28" x14ac:dyDescent="0.2">
      <c r="A55" s="51" t="s">
        <v>180</v>
      </c>
      <c r="C55" s="55">
        <f>Flowchart!AX29</f>
        <v>0</v>
      </c>
      <c r="E55" s="67" t="str">
        <f>IF(Flowchart!$BA$29="A", 2," ")</f>
        <v xml:space="preserve"> </v>
      </c>
      <c r="G55" s="67" t="str">
        <f>IF(Flowchart!$BA$29="B", 2," ")</f>
        <v xml:space="preserve"> </v>
      </c>
      <c r="I55" s="67" t="str">
        <f>IF(Flowchart!$BA$29="C", 2," ")</f>
        <v xml:space="preserve"> </v>
      </c>
      <c r="K55" s="67" t="str">
        <f>IF(Flowchart!$BA$29="D", 2," ")</f>
        <v xml:space="preserve"> </v>
      </c>
      <c r="M55" s="67" t="str">
        <f>IF(Flowchart!$BA$29="T", 2," ")</f>
        <v xml:space="preserve"> </v>
      </c>
      <c r="P55" s="55" t="str">
        <f>VLOOKUP(Flowchart!AX33,Page3!A38:B40,2)</f>
        <v>Project Elective 2</v>
      </c>
      <c r="R55" s="55"/>
      <c r="T55" s="55"/>
      <c r="V55" s="55"/>
      <c r="X55" s="55">
        <v>2</v>
      </c>
      <c r="Z55" s="55"/>
      <c r="AB55" s="55"/>
    </row>
    <row r="56" spans="1:28" x14ac:dyDescent="0.2">
      <c r="E56" s="51">
        <f>SUM(E12:E55)</f>
        <v>0</v>
      </c>
      <c r="G56" s="51">
        <f>SUM(G12:G55)</f>
        <v>0</v>
      </c>
      <c r="I56" s="51">
        <f>SUM(I12:I55)</f>
        <v>0</v>
      </c>
      <c r="K56" s="51">
        <f>SUM(K12:K55)</f>
        <v>0</v>
      </c>
      <c r="M56" s="51">
        <f>SUM(M12:M55)</f>
        <v>0</v>
      </c>
      <c r="O56" s="51">
        <f>SUM(E52:M55)</f>
        <v>0</v>
      </c>
      <c r="P56" s="58" t="s">
        <v>119</v>
      </c>
      <c r="R56" s="55">
        <v>18</v>
      </c>
      <c r="T56" s="55">
        <v>15</v>
      </c>
      <c r="V56" s="55">
        <v>36</v>
      </c>
      <c r="X56" s="55">
        <v>23</v>
      </c>
      <c r="Z56" s="55">
        <v>0</v>
      </c>
      <c r="AB56" s="55">
        <v>6</v>
      </c>
    </row>
    <row r="57" spans="1:28" x14ac:dyDescent="0.2">
      <c r="O57" s="51">
        <f>SUM(O17:O56)</f>
        <v>0</v>
      </c>
    </row>
  </sheetData>
  <mergeCells count="1">
    <mergeCell ref="A1:F1"/>
  </mergeCells>
  <pageMargins left="0.25" right="0.25" top="0.75" bottom="0.25" header="0.3" footer="0.3"/>
  <pageSetup scale="9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G56"/>
  <sheetViews>
    <sheetView view="pageLayout" zoomScaleNormal="100" workbookViewId="0">
      <selection activeCell="B6" sqref="B6"/>
    </sheetView>
  </sheetViews>
  <sheetFormatPr defaultColWidth="9.140625" defaultRowHeight="12.75" x14ac:dyDescent="0.2"/>
  <cols>
    <col min="1" max="1" width="2.5703125" style="51" customWidth="1"/>
    <col min="2" max="2" width="17.85546875" style="51" customWidth="1"/>
    <col min="3" max="3" width="4.28515625" style="51" customWidth="1"/>
    <col min="4" max="4" width="0.7109375" style="51" customWidth="1"/>
    <col min="5" max="5" width="3.5703125" style="51" customWidth="1"/>
    <col min="6" max="6" width="0.7109375" style="51" customWidth="1"/>
    <col min="7" max="7" width="3.5703125" style="51" customWidth="1"/>
    <col min="8" max="8" width="0.7109375" style="51" customWidth="1"/>
    <col min="9" max="9" width="3.5703125" style="51" customWidth="1"/>
    <col min="10" max="10" width="0.7109375" style="51" customWidth="1"/>
    <col min="11" max="11" width="3.5703125" style="51" customWidth="1"/>
    <col min="12" max="12" width="0.7109375" style="51" customWidth="1"/>
    <col min="13" max="13" width="3.5703125" style="51" customWidth="1"/>
    <col min="14" max="14" width="0.7109375" style="51" customWidth="1"/>
    <col min="15" max="15" width="3.5703125" style="51" customWidth="1"/>
    <col min="16" max="16" width="4.28515625" style="51" customWidth="1"/>
    <col min="17" max="17" width="20.7109375" style="51" customWidth="1"/>
    <col min="18" max="18" width="4.140625" style="51" customWidth="1"/>
    <col min="19" max="19" width="3.5703125" style="51" customWidth="1"/>
    <col min="20" max="20" width="0.7109375" style="51" customWidth="1"/>
    <col min="21" max="21" width="3.5703125" style="51" customWidth="1"/>
    <col min="22" max="22" width="0.7109375" style="51" customWidth="1"/>
    <col min="23" max="23" width="3.5703125" style="51" customWidth="1"/>
    <col min="24" max="24" width="0.7109375" style="51" customWidth="1"/>
    <col min="25" max="25" width="3.5703125" style="51" customWidth="1"/>
    <col min="26" max="26" width="0.5703125" style="51" customWidth="1"/>
    <col min="27" max="27" width="3.5703125" style="51" customWidth="1"/>
    <col min="28" max="28" width="0.5703125" style="51" customWidth="1"/>
    <col min="29" max="29" width="4.42578125" style="51" customWidth="1"/>
    <col min="30" max="16384" width="9.140625" style="52"/>
  </cols>
  <sheetData>
    <row r="2" spans="1:31" x14ac:dyDescent="0.2">
      <c r="E2" s="51" t="s">
        <v>94</v>
      </c>
      <c r="Q2" s="51" t="s">
        <v>95</v>
      </c>
      <c r="W2" s="51" t="s">
        <v>96</v>
      </c>
      <c r="Y2" s="51" t="s">
        <v>96</v>
      </c>
      <c r="AA2" s="51" t="s">
        <v>97</v>
      </c>
    </row>
    <row r="3" spans="1:31" x14ac:dyDescent="0.2">
      <c r="A3" s="51" t="s">
        <v>98</v>
      </c>
      <c r="G3" s="53" t="s">
        <v>99</v>
      </c>
      <c r="H3" s="53"/>
      <c r="I3" s="53" t="s">
        <v>100</v>
      </c>
      <c r="J3" s="53"/>
      <c r="K3" s="53" t="s">
        <v>101</v>
      </c>
      <c r="L3" s="53"/>
      <c r="M3" s="53" t="s">
        <v>102</v>
      </c>
      <c r="N3" s="53"/>
      <c r="O3" s="53" t="s">
        <v>103</v>
      </c>
      <c r="Q3" s="51" t="s">
        <v>104</v>
      </c>
      <c r="S3" s="51" t="s">
        <v>105</v>
      </c>
      <c r="U3" s="51" t="s">
        <v>106</v>
      </c>
      <c r="W3" s="51" t="s">
        <v>106</v>
      </c>
      <c r="Y3" s="51" t="s">
        <v>107</v>
      </c>
      <c r="AA3" s="51" t="s">
        <v>108</v>
      </c>
      <c r="AC3" s="51" t="s">
        <v>109</v>
      </c>
    </row>
    <row r="5" spans="1:31" x14ac:dyDescent="0.2">
      <c r="A5" s="54" t="s">
        <v>110</v>
      </c>
      <c r="B5" s="55" t="str">
        <f>VLOOKUP(Flowchart!AC38,Page3!A17:B29,2)</f>
        <v>Elective</v>
      </c>
      <c r="E5" s="55">
        <f>Flowchart!AC39</f>
        <v>0</v>
      </c>
      <c r="G5" s="67" t="str">
        <f>IF(Flowchart!$AF$39="A", 3," ")</f>
        <v xml:space="preserve"> </v>
      </c>
      <c r="I5" s="67" t="str">
        <f>IF(Flowchart!$AF$39="B", 3," ")</f>
        <v xml:space="preserve"> </v>
      </c>
      <c r="K5" s="67" t="str">
        <f>IF(Flowchart!$AF$39="C", 3," ")</f>
        <v xml:space="preserve"> </v>
      </c>
      <c r="M5" s="67" t="str">
        <f>IF(Flowchart!$AF$39="D", 3," ")</f>
        <v xml:space="preserve"> </v>
      </c>
      <c r="O5" s="67" t="str">
        <f>IF(Flowchart!$AF$39="T", 3," ")</f>
        <v xml:space="preserve"> </v>
      </c>
      <c r="Q5" s="55" t="s">
        <v>205</v>
      </c>
      <c r="S5" s="55"/>
      <c r="U5" s="55"/>
      <c r="W5" s="55"/>
      <c r="Y5" s="55"/>
      <c r="AA5" s="55"/>
      <c r="AC5" s="55"/>
    </row>
    <row r="6" spans="1:31" x14ac:dyDescent="0.2">
      <c r="A6" s="54" t="s">
        <v>111</v>
      </c>
      <c r="B6" s="55" t="str">
        <f>VLOOKUP(Flowchart!AQ23,Page3!E19:F21,2)</f>
        <v>CVEG 4XXX</v>
      </c>
      <c r="E6" s="55">
        <f>Flowchart!AQ24</f>
        <v>0</v>
      </c>
      <c r="G6" s="67" t="str">
        <f>IF(Flowchart!$AT$24="A", 3," ")</f>
        <v xml:space="preserve"> </v>
      </c>
      <c r="I6" s="67" t="str">
        <f>IF(Flowchart!$AT$24="B", 3," ")</f>
        <v xml:space="preserve"> </v>
      </c>
      <c r="K6" s="67" t="str">
        <f>IF(Flowchart!$AT$24="C", 3," ")</f>
        <v xml:space="preserve"> </v>
      </c>
      <c r="M6" s="67" t="str">
        <f>IF(Flowchart!$AT$24="D", 3," ")</f>
        <v xml:space="preserve"> </v>
      </c>
      <c r="O6" s="67" t="str">
        <f>IF(Flowchart!$AT$24="T", 3," ")</f>
        <v xml:space="preserve"> </v>
      </c>
      <c r="Q6" s="55" t="s">
        <v>231</v>
      </c>
      <c r="S6" s="55"/>
      <c r="U6" s="55"/>
      <c r="W6" s="55"/>
      <c r="Y6" s="56"/>
      <c r="AA6" s="55"/>
      <c r="AC6" s="55"/>
    </row>
    <row r="7" spans="1:31" x14ac:dyDescent="0.2">
      <c r="A7" s="54" t="s">
        <v>112</v>
      </c>
      <c r="B7" s="55" t="str">
        <f>VLOOKUP(Flowchart!AX33,Page3!E23:F25,2)</f>
        <v>CVEG 4XXX</v>
      </c>
      <c r="E7" s="55">
        <f>Flowchart!AX34</f>
        <v>0</v>
      </c>
      <c r="G7" s="67" t="str">
        <f>IF(Flowchart!$BA$34="A", 3," ")</f>
        <v xml:space="preserve"> </v>
      </c>
      <c r="I7" s="67" t="str">
        <f>IF(Flowchart!$BA$34="B", 3," ")</f>
        <v xml:space="preserve"> </v>
      </c>
      <c r="K7" s="67" t="str">
        <f>IF(Flowchart!$BA$34="C", 3," ")</f>
        <v xml:space="preserve"> </v>
      </c>
      <c r="M7" s="67" t="str">
        <f>IF(Flowchart!$BA$34="D", 3," ")</f>
        <v xml:space="preserve"> </v>
      </c>
      <c r="O7" s="67" t="str">
        <f>IF(Flowchart!$BA$34="T", 3," ")</f>
        <v xml:space="preserve"> </v>
      </c>
      <c r="Q7" s="55" t="s">
        <v>232</v>
      </c>
      <c r="S7" s="55"/>
      <c r="U7" s="55"/>
      <c r="W7" s="55"/>
      <c r="Y7" s="56"/>
      <c r="AA7" s="55"/>
      <c r="AC7" s="55"/>
    </row>
    <row r="8" spans="1:31" x14ac:dyDescent="0.2">
      <c r="A8" s="54" t="s">
        <v>113</v>
      </c>
      <c r="B8" s="55" t="str">
        <f>Flowchart!AX47</f>
        <v>CVEG 4XXX</v>
      </c>
      <c r="E8" s="55">
        <f>Flowchart!AX49</f>
        <v>0</v>
      </c>
      <c r="G8" s="67" t="str">
        <f>IF(Flowchart!$BA$49="A", 3," ")</f>
        <v xml:space="preserve"> </v>
      </c>
      <c r="I8" s="67" t="str">
        <f>IF(Flowchart!$BA$49="B", 3," ")</f>
        <v xml:space="preserve"> </v>
      </c>
      <c r="K8" s="67" t="str">
        <f>IF(Flowchart!$BA$49="C", 3," ")</f>
        <v xml:space="preserve"> </v>
      </c>
      <c r="M8" s="67" t="str">
        <f>IF(Flowchart!$BA$49="D", 3," ")</f>
        <v xml:space="preserve"> </v>
      </c>
      <c r="O8" s="67" t="str">
        <f>IF(Flowchart!$BA$49="T", 3," ")</f>
        <v xml:space="preserve"> </v>
      </c>
      <c r="Q8" s="55" t="s">
        <v>230</v>
      </c>
      <c r="S8" s="55"/>
      <c r="U8" s="55"/>
      <c r="W8" s="55"/>
      <c r="Y8" s="55"/>
      <c r="AA8" s="55"/>
      <c r="AC8" s="55"/>
    </row>
    <row r="9" spans="1:31" x14ac:dyDescent="0.2">
      <c r="G9" s="51">
        <f>SUM(G5:G8)</f>
        <v>0</v>
      </c>
      <c r="I9" s="51">
        <f>SUM(I5:I8)</f>
        <v>0</v>
      </c>
      <c r="K9" s="51">
        <f>SUM(K5:K8)</f>
        <v>0</v>
      </c>
      <c r="M9" s="51">
        <f>SUM(M5:M8)</f>
        <v>0</v>
      </c>
      <c r="O9" s="51">
        <f>SUM(O5:O8)</f>
        <v>0</v>
      </c>
    </row>
    <row r="10" spans="1:31" x14ac:dyDescent="0.2">
      <c r="A10" s="51" t="s">
        <v>114</v>
      </c>
    </row>
    <row r="12" spans="1:31" x14ac:dyDescent="0.2">
      <c r="A12" s="54" t="s">
        <v>110</v>
      </c>
      <c r="B12" s="55" t="str">
        <f>VLOOKUP(Flowchart!O53,Page3!E3:F12,2)</f>
        <v>Elective</v>
      </c>
      <c r="E12" s="55">
        <f>Flowchart!O54</f>
        <v>0</v>
      </c>
      <c r="G12" s="67" t="str">
        <f>IF(Flowchart!$R$54="A", 3," ")</f>
        <v xml:space="preserve"> </v>
      </c>
      <c r="I12" s="67" t="str">
        <f>IF(Flowchart!$R$54="B", 3," ")</f>
        <v xml:space="preserve"> </v>
      </c>
      <c r="K12" s="67" t="str">
        <f>IF(Flowchart!$R$54="C", 3," ")</f>
        <v xml:space="preserve"> </v>
      </c>
      <c r="M12" s="67" t="str">
        <f>IF(Flowchart!$R$54="D", 3," ")</f>
        <v xml:space="preserve"> </v>
      </c>
      <c r="O12" s="67" t="str">
        <f>IF(Flowchart!$R$54="T", 3," ")</f>
        <v xml:space="preserve"> </v>
      </c>
      <c r="Q12" s="55" t="s">
        <v>49</v>
      </c>
      <c r="S12" s="55"/>
      <c r="U12" s="55"/>
      <c r="W12" s="55"/>
      <c r="Y12" s="55"/>
      <c r="AA12" s="55">
        <v>3</v>
      </c>
      <c r="AC12" s="55"/>
    </row>
    <row r="13" spans="1:31" x14ac:dyDescent="0.2">
      <c r="A13" s="54" t="s">
        <v>111</v>
      </c>
      <c r="B13" s="55" t="str">
        <f>VLOOKUP(Flowchart!AQ48,Page3!I3:J32,2)</f>
        <v>Elective</v>
      </c>
      <c r="E13" s="55">
        <f>Flowchart!AQ49</f>
        <v>0</v>
      </c>
      <c r="G13" s="67" t="str">
        <f>IF(Flowchart!$AT$49="A", 3," ")</f>
        <v xml:space="preserve"> </v>
      </c>
      <c r="I13" s="67" t="str">
        <f>IF(Flowchart!$AT$49="B", 3," ")</f>
        <v xml:space="preserve"> </v>
      </c>
      <c r="K13" s="67" t="str">
        <f>IF(Flowchart!$AT$49="C", 3," ")</f>
        <v xml:space="preserve"> </v>
      </c>
      <c r="M13" s="67" t="str">
        <f>IF(Flowchart!$AT$49="D", 3," ")</f>
        <v xml:space="preserve"> </v>
      </c>
      <c r="O13" s="67" t="str">
        <f>IF(Flowchart!$AT$49="T", 3," ")</f>
        <v xml:space="preserve"> </v>
      </c>
      <c r="Q13" s="55" t="s">
        <v>56</v>
      </c>
      <c r="S13" s="55"/>
      <c r="U13" s="55"/>
      <c r="W13" s="55"/>
      <c r="Y13" s="56"/>
      <c r="AA13" s="55">
        <v>3</v>
      </c>
      <c r="AC13" s="55"/>
    </row>
    <row r="14" spans="1:31" x14ac:dyDescent="0.2">
      <c r="A14" s="54" t="s">
        <v>112</v>
      </c>
      <c r="B14" s="55" t="str">
        <f>VLOOKUP(Flowchart!AJ53,Page3!O4:P30,2)</f>
        <v>Elective</v>
      </c>
      <c r="E14" s="55">
        <f>Flowchart!AJ54</f>
        <v>0</v>
      </c>
      <c r="G14" s="67" t="str">
        <f>IF(Flowchart!$AM$54="A", 3," ")</f>
        <v xml:space="preserve"> </v>
      </c>
      <c r="I14" s="67" t="str">
        <f>IF(Flowchart!$AM$54="B", 3," ")</f>
        <v xml:space="preserve"> </v>
      </c>
      <c r="K14" s="67" t="str">
        <f>IF(Flowchart!$AM$54="C", 3," ")</f>
        <v xml:space="preserve"> </v>
      </c>
      <c r="M14" s="67" t="str">
        <f>IF(Flowchart!$AM$54="D", 3," ")</f>
        <v xml:space="preserve"> </v>
      </c>
      <c r="O14" s="67" t="str">
        <f>IF(Flowchart!$AM$54="T", 3," ")</f>
        <v xml:space="preserve"> </v>
      </c>
      <c r="Q14" s="55" t="s">
        <v>182</v>
      </c>
      <c r="S14" s="55"/>
      <c r="U14" s="55"/>
      <c r="W14" s="55"/>
      <c r="Y14" s="56"/>
      <c r="AA14" s="55">
        <v>3</v>
      </c>
      <c r="AC14" s="55"/>
    </row>
    <row r="15" spans="1:31" x14ac:dyDescent="0.2">
      <c r="A15" s="54" t="s">
        <v>113</v>
      </c>
      <c r="B15" s="55" t="str">
        <f>VLOOKUP(Flowchart!H53,Page3!A11:B14,2)</f>
        <v>Elective</v>
      </c>
      <c r="E15" s="55">
        <f>Flowchart!H54</f>
        <v>0</v>
      </c>
      <c r="G15" s="67" t="str">
        <f>IF(Flowchart!$K$54="A", 3," ")</f>
        <v xml:space="preserve"> </v>
      </c>
      <c r="I15" s="67" t="str">
        <f>IF(Flowchart!$K$54="B", 3," ")</f>
        <v xml:space="preserve"> </v>
      </c>
      <c r="K15" s="67" t="str">
        <f>IF(Flowchart!$K$54="C", 3," ")</f>
        <v xml:space="preserve"> </v>
      </c>
      <c r="M15" s="67" t="str">
        <f>IF(Flowchart!$K$54="D", 3," ")</f>
        <v xml:space="preserve"> </v>
      </c>
      <c r="O15" s="67" t="str">
        <f>IF(Flowchart!$K$54="T", 3," ")</f>
        <v xml:space="preserve"> </v>
      </c>
      <c r="Q15" s="57" t="s">
        <v>115</v>
      </c>
      <c r="S15" s="55"/>
      <c r="U15" s="55"/>
      <c r="W15" s="55"/>
      <c r="Y15" s="56"/>
      <c r="AA15" s="55">
        <v>3</v>
      </c>
      <c r="AC15" s="55"/>
      <c r="AE15" s="58"/>
    </row>
    <row r="16" spans="1:31" x14ac:dyDescent="0.2">
      <c r="A16" s="54" t="s">
        <v>116</v>
      </c>
      <c r="B16" s="55" t="str">
        <f>VLOOKUP(Flowchart!AQ53,Page3!R4:S30,2)</f>
        <v>Elective</v>
      </c>
      <c r="E16" s="55">
        <f>Flowchart!AQ54</f>
        <v>0</v>
      </c>
      <c r="G16" s="67" t="str">
        <f>IF(Flowchart!$AT$54="A", 3," ")</f>
        <v xml:space="preserve"> </v>
      </c>
      <c r="I16" s="67" t="str">
        <f>IF(Flowchart!$AT$54="B", 3," ")</f>
        <v xml:space="preserve"> </v>
      </c>
      <c r="K16" s="67" t="str">
        <f>IF(Flowchart!$AT$54="C", 3," ")</f>
        <v xml:space="preserve"> </v>
      </c>
      <c r="M16" s="67" t="str">
        <f>IF(Flowchart!$AT$54="D", 3," ")</f>
        <v xml:space="preserve"> </v>
      </c>
      <c r="O16" s="67" t="str">
        <f>IF(Flowchart!$AT$54="T", 3," ")</f>
        <v xml:space="preserve"> </v>
      </c>
      <c r="Q16" s="56" t="s">
        <v>183</v>
      </c>
      <c r="S16" s="55"/>
      <c r="U16" s="55"/>
      <c r="W16" s="55"/>
      <c r="Y16" s="56"/>
      <c r="AA16" s="55">
        <v>3</v>
      </c>
      <c r="AC16" s="55"/>
    </row>
    <row r="17" spans="1:33" x14ac:dyDescent="0.2">
      <c r="A17" s="54" t="s">
        <v>117</v>
      </c>
      <c r="B17" s="55" t="str">
        <f>VLOOKUP(Flowchart!AX53,Page3!V4:W30,2)</f>
        <v>Elective</v>
      </c>
      <c r="E17" s="55">
        <f>Flowchart!AX54</f>
        <v>0</v>
      </c>
      <c r="G17" s="67" t="str">
        <f>IF(Flowchart!$BA$54="A", 3," ")</f>
        <v xml:space="preserve"> </v>
      </c>
      <c r="I17" s="67" t="str">
        <f>IF(Flowchart!$BA$54="B", 3," ")</f>
        <v xml:space="preserve"> </v>
      </c>
      <c r="K17" s="67" t="str">
        <f>IF(Flowchart!$BA$54="C", 3," ")</f>
        <v xml:space="preserve"> </v>
      </c>
      <c r="M17" s="67" t="str">
        <f>IF(Flowchart!$BA$54="D", 3," ")</f>
        <v xml:space="preserve"> </v>
      </c>
      <c r="O17" s="67" t="str">
        <f>IF(Flowchart!$BA$54="T", 3," ")</f>
        <v xml:space="preserve"> </v>
      </c>
      <c r="Q17" s="57" t="s">
        <v>184</v>
      </c>
      <c r="S17" s="55"/>
      <c r="U17" s="55"/>
      <c r="W17" s="55"/>
      <c r="Y17" s="56"/>
      <c r="AA17" s="55">
        <v>3</v>
      </c>
      <c r="AC17" s="55"/>
    </row>
    <row r="18" spans="1:33" x14ac:dyDescent="0.2">
      <c r="A18" s="54" t="s">
        <v>118</v>
      </c>
      <c r="B18" s="59"/>
      <c r="E18" s="55"/>
      <c r="G18" s="55"/>
      <c r="I18" s="55"/>
      <c r="J18" s="55"/>
      <c r="K18" s="55"/>
      <c r="M18" s="55"/>
      <c r="O18" s="55"/>
      <c r="Q18" s="57"/>
      <c r="S18" s="55"/>
      <c r="U18" s="55"/>
      <c r="W18" s="55"/>
      <c r="Y18" s="55"/>
      <c r="AA18" s="55"/>
      <c r="AC18" s="55"/>
    </row>
    <row r="19" spans="1:33" x14ac:dyDescent="0.2">
      <c r="G19" s="51">
        <f>SUM(G12:G18)</f>
        <v>0</v>
      </c>
      <c r="I19" s="51">
        <f>SUM(I12:I18)</f>
        <v>0</v>
      </c>
      <c r="K19" s="51">
        <f>SUM(K12:K18)</f>
        <v>0</v>
      </c>
      <c r="M19" s="51">
        <f>SUM(M12:M18)</f>
        <v>0</v>
      </c>
      <c r="O19" s="51">
        <f>SUM(O12:O18)</f>
        <v>0</v>
      </c>
    </row>
    <row r="21" spans="1:33" x14ac:dyDescent="0.2">
      <c r="B21" s="51" t="s">
        <v>120</v>
      </c>
    </row>
    <row r="23" spans="1:33" x14ac:dyDescent="0.2">
      <c r="A23" s="61" t="s">
        <v>110</v>
      </c>
      <c r="B23" s="62"/>
      <c r="C23" s="62"/>
      <c r="D23" s="62"/>
      <c r="E23" s="61" t="s">
        <v>121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R23" s="51" t="s">
        <v>122</v>
      </c>
      <c r="AD23" s="51"/>
      <c r="AE23" s="51"/>
      <c r="AF23" s="51"/>
      <c r="AG23" s="51"/>
    </row>
    <row r="24" spans="1:33" x14ac:dyDescent="0.2">
      <c r="A24" s="61" t="s">
        <v>111</v>
      </c>
      <c r="B24" s="62"/>
      <c r="C24" s="62"/>
      <c r="D24" s="62"/>
      <c r="E24" s="61" t="s">
        <v>123</v>
      </c>
      <c r="G24" s="56"/>
      <c r="H24" s="56"/>
      <c r="I24" s="56"/>
      <c r="J24" s="56"/>
      <c r="K24" s="56"/>
      <c r="L24" s="56"/>
      <c r="M24" s="56"/>
      <c r="N24" s="56"/>
      <c r="O24" s="56"/>
      <c r="P24" s="56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</row>
    <row r="25" spans="1:33" x14ac:dyDescent="0.2">
      <c r="A25" s="61" t="s">
        <v>112</v>
      </c>
      <c r="B25" s="62"/>
      <c r="C25" s="62"/>
      <c r="D25" s="62"/>
      <c r="E25" s="61" t="s">
        <v>124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</row>
    <row r="26" spans="1:33" x14ac:dyDescent="0.2">
      <c r="A26" s="61" t="s">
        <v>113</v>
      </c>
      <c r="B26" s="62"/>
      <c r="C26" s="62"/>
      <c r="D26" s="62"/>
      <c r="E26" s="61" t="s">
        <v>125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</row>
    <row r="27" spans="1:33" x14ac:dyDescent="0.2">
      <c r="A27" s="61" t="s">
        <v>116</v>
      </c>
      <c r="B27" s="62"/>
      <c r="C27" s="62"/>
      <c r="D27" s="62"/>
      <c r="E27" s="61" t="s">
        <v>126</v>
      </c>
      <c r="G27" s="56"/>
      <c r="H27" s="56"/>
      <c r="I27" s="56"/>
      <c r="J27" s="56"/>
      <c r="K27" s="56"/>
      <c r="L27" s="56"/>
      <c r="M27" s="56"/>
      <c r="N27" s="56"/>
      <c r="O27" s="56"/>
      <c r="P27" s="56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33" x14ac:dyDescent="0.2">
      <c r="A28" s="61" t="s">
        <v>117</v>
      </c>
      <c r="B28" s="62"/>
      <c r="C28" s="62"/>
      <c r="D28" s="62"/>
      <c r="E28" s="61" t="s">
        <v>127</v>
      </c>
      <c r="G28" s="56"/>
      <c r="H28" s="56"/>
      <c r="I28" s="56"/>
      <c r="J28" s="56"/>
      <c r="K28" s="56"/>
      <c r="L28" s="56"/>
      <c r="M28" s="56"/>
      <c r="N28" s="56"/>
      <c r="O28" s="56"/>
      <c r="P28" s="56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33" x14ac:dyDescent="0.2">
      <c r="A29" s="61" t="s">
        <v>118</v>
      </c>
      <c r="B29" s="62"/>
      <c r="C29" s="62"/>
      <c r="D29" s="62"/>
      <c r="E29" s="61" t="s">
        <v>128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1" spans="1:33" x14ac:dyDescent="0.2">
      <c r="B31" s="60" t="s">
        <v>129</v>
      </c>
      <c r="E31" s="55"/>
      <c r="F31" s="55"/>
      <c r="G31" s="55"/>
      <c r="H31" s="55"/>
      <c r="I31" s="55"/>
      <c r="J31" s="55"/>
      <c r="K31" s="55"/>
    </row>
    <row r="33" spans="1:29" x14ac:dyDescent="0.2">
      <c r="B33" s="60" t="s">
        <v>130</v>
      </c>
    </row>
    <row r="34" spans="1:29" ht="5.0999999999999996" customHeight="1" x14ac:dyDescent="0.2"/>
    <row r="35" spans="1:29" x14ac:dyDescent="0.2">
      <c r="G35" s="55"/>
      <c r="H35" s="55"/>
      <c r="I35" s="55"/>
      <c r="J35" s="55"/>
      <c r="K35" s="55"/>
      <c r="L35" s="55"/>
      <c r="M35" s="55"/>
      <c r="N35" s="55"/>
      <c r="O35" s="55"/>
      <c r="P35" s="55"/>
      <c r="R35" s="55"/>
      <c r="S35" s="55"/>
      <c r="T35" s="55"/>
      <c r="U35" s="55"/>
      <c r="V35" s="55"/>
      <c r="W35" s="55"/>
      <c r="X35" s="55"/>
    </row>
    <row r="36" spans="1:29" x14ac:dyDescent="0.2">
      <c r="G36" s="51" t="s">
        <v>131</v>
      </c>
      <c r="R36" s="51" t="s">
        <v>132</v>
      </c>
    </row>
    <row r="38" spans="1:29" x14ac:dyDescent="0.2">
      <c r="B38" s="51" t="s">
        <v>133</v>
      </c>
    </row>
    <row r="39" spans="1:29" ht="5.0999999999999996" customHeight="1" x14ac:dyDescent="0.2"/>
    <row r="40" spans="1:29" x14ac:dyDescent="0.2">
      <c r="G40" s="55"/>
      <c r="H40" s="55"/>
      <c r="I40" s="55"/>
      <c r="J40" s="55"/>
      <c r="K40" s="55"/>
      <c r="L40" s="55"/>
      <c r="M40" s="55"/>
      <c r="N40" s="55"/>
      <c r="O40" s="55"/>
      <c r="P40" s="55"/>
      <c r="R40" s="55"/>
      <c r="S40" s="55"/>
      <c r="T40" s="55"/>
      <c r="U40" s="55"/>
      <c r="V40" s="55"/>
      <c r="W40" s="55"/>
      <c r="X40" s="55"/>
    </row>
    <row r="41" spans="1:29" x14ac:dyDescent="0.2">
      <c r="G41" s="51" t="s">
        <v>134</v>
      </c>
      <c r="R41" s="51" t="s">
        <v>132</v>
      </c>
    </row>
    <row r="42" spans="1:29" x14ac:dyDescent="0.2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</row>
    <row r="43" spans="1:29" ht="5.0999999999999996" customHeight="1" x14ac:dyDescent="0.2"/>
    <row r="44" spans="1:29" x14ac:dyDescent="0.2">
      <c r="C44" s="51" t="s">
        <v>135</v>
      </c>
    </row>
    <row r="45" spans="1:29" ht="5.0999999999999996" customHeight="1" x14ac:dyDescent="0.2"/>
    <row r="46" spans="1:29" x14ac:dyDescent="0.2">
      <c r="E46" s="53" t="s">
        <v>99</v>
      </c>
      <c r="F46" s="53"/>
      <c r="G46" s="53" t="s">
        <v>100</v>
      </c>
      <c r="H46" s="53"/>
      <c r="I46" s="53" t="s">
        <v>101</v>
      </c>
      <c r="J46" s="53"/>
      <c r="K46" s="53" t="s">
        <v>102</v>
      </c>
      <c r="L46" s="53"/>
      <c r="M46" s="53" t="s">
        <v>103</v>
      </c>
    </row>
    <row r="47" spans="1:29" x14ac:dyDescent="0.2">
      <c r="B47" s="53" t="s">
        <v>136</v>
      </c>
      <c r="E47" s="55">
        <f>Page1!E56+Page2!G9+Page2!G19</f>
        <v>0</v>
      </c>
      <c r="G47" s="55">
        <f>Page1!G56+Page2!I9+Page2!I19</f>
        <v>0</v>
      </c>
      <c r="I47" s="55">
        <f>Page1!I56+Page2!K9+Page2!K19</f>
        <v>0</v>
      </c>
      <c r="K47" s="55">
        <f>Page1!K56+Page2!M9+Page2!M19</f>
        <v>0</v>
      </c>
      <c r="M47" s="55">
        <f>Page1!M56+Page2!O9+Page2!O19</f>
        <v>0</v>
      </c>
      <c r="Q47" s="58" t="s">
        <v>137</v>
      </c>
      <c r="R47" s="55" t="e">
        <f>((E47*4)+(G47*3)+(I47*2)+(K47*1))/((E47+G47+I47+K47)*4)*4</f>
        <v>#DIV/0!</v>
      </c>
      <c r="S47" s="55"/>
      <c r="T47" s="55"/>
      <c r="U47" s="55"/>
      <c r="V47" s="55"/>
      <c r="W47" s="55"/>
    </row>
    <row r="48" spans="1:29" ht="9.9499999999999993" customHeight="1" x14ac:dyDescent="0.2">
      <c r="B48" s="63" t="s">
        <v>185</v>
      </c>
    </row>
    <row r="49" spans="2:24" x14ac:dyDescent="0.2">
      <c r="B49" s="53" t="s">
        <v>138</v>
      </c>
      <c r="C49" s="55">
        <f>SUM(E47:M47)</f>
        <v>0</v>
      </c>
      <c r="D49" s="55"/>
      <c r="E49" s="55"/>
      <c r="I49" s="51" t="s">
        <v>139</v>
      </c>
      <c r="M49" s="55"/>
      <c r="N49" s="55"/>
      <c r="O49" s="55"/>
      <c r="Q49" s="51" t="s">
        <v>209</v>
      </c>
      <c r="R49" s="55"/>
      <c r="S49" s="55"/>
      <c r="T49" s="55"/>
      <c r="U49" s="55"/>
      <c r="V49" s="55"/>
      <c r="W49" s="55"/>
    </row>
    <row r="50" spans="2:24" ht="9.9499999999999993" customHeight="1" x14ac:dyDescent="0.2"/>
    <row r="51" spans="2:24" x14ac:dyDescent="0.2">
      <c r="B51" s="51" t="s">
        <v>140</v>
      </c>
      <c r="E51" s="55"/>
      <c r="F51" s="55"/>
      <c r="G51" s="55"/>
      <c r="H51" s="55"/>
      <c r="J51" s="51" t="s">
        <v>141</v>
      </c>
      <c r="O51" s="55">
        <f>K47</f>
        <v>0</v>
      </c>
      <c r="P51" s="55"/>
      <c r="Q51" s="51" t="s">
        <v>142</v>
      </c>
      <c r="R51" s="55" t="e">
        <f>O51/(E47+G47+I47+K47)*100</f>
        <v>#DIV/0!</v>
      </c>
      <c r="S51" s="55"/>
      <c r="T51" s="55"/>
      <c r="U51" s="55"/>
      <c r="V51" s="55"/>
      <c r="W51" s="55"/>
    </row>
    <row r="52" spans="2:24" ht="9.9499999999999993" customHeight="1" x14ac:dyDescent="0.2"/>
    <row r="53" spans="2:24" ht="12.75" customHeight="1" x14ac:dyDescent="0.2">
      <c r="Q53" s="51" t="s">
        <v>143</v>
      </c>
      <c r="R53" s="55"/>
      <c r="S53" s="55"/>
      <c r="T53" s="55"/>
      <c r="U53" s="55"/>
      <c r="V53" s="55"/>
      <c r="W53" s="55"/>
    </row>
    <row r="54" spans="2:24" ht="5.0999999999999996" customHeight="1" x14ac:dyDescent="0.2"/>
    <row r="55" spans="2:24" ht="12.75" customHeight="1" x14ac:dyDescent="0.2">
      <c r="B55" s="64" t="s">
        <v>144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R55" s="55"/>
      <c r="S55" s="55"/>
      <c r="T55" s="55"/>
      <c r="U55" s="55"/>
      <c r="V55" s="55"/>
      <c r="W55" s="55"/>
      <c r="X55" s="55"/>
    </row>
    <row r="56" spans="2:24" x14ac:dyDescent="0.2">
      <c r="G56" s="60" t="s">
        <v>145</v>
      </c>
      <c r="R56" s="60" t="s">
        <v>132</v>
      </c>
    </row>
  </sheetData>
  <pageMargins left="0.25" right="0.25" top="0.25" bottom="0.25" header="0.3" footer="0.3"/>
  <pageSetup scale="9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C42"/>
  <sheetViews>
    <sheetView topLeftCell="A4" workbookViewId="0">
      <selection activeCell="A31" sqref="A31:C42"/>
    </sheetView>
  </sheetViews>
  <sheetFormatPr defaultRowHeight="15.75" x14ac:dyDescent="0.25"/>
  <cols>
    <col min="1" max="1" width="4.28515625" style="41" customWidth="1"/>
    <col min="2" max="2" width="19.140625" style="35" customWidth="1"/>
    <col min="3" max="3" width="4.7109375" style="35" customWidth="1"/>
    <col min="5" max="5" width="4.42578125" style="41" customWidth="1"/>
    <col min="6" max="6" width="14.28515625" style="38" bestFit="1" customWidth="1"/>
    <col min="7" max="7" width="4.42578125" style="38" customWidth="1"/>
    <col min="9" max="9" width="4" style="41" customWidth="1"/>
    <col min="10" max="10" width="16.140625" style="38" bestFit="1" customWidth="1"/>
    <col min="11" max="11" width="4.140625" style="38" customWidth="1"/>
    <col min="13" max="13" width="4" style="40" customWidth="1"/>
    <col min="14" max="14" width="16.42578125" style="36" bestFit="1" customWidth="1"/>
    <col min="15" max="15" width="3.7109375" style="40" customWidth="1"/>
    <col min="16" max="16" width="15.28515625" style="36" bestFit="1" customWidth="1"/>
    <col min="17" max="17" width="3.7109375" style="40" customWidth="1"/>
    <col min="18" max="18" width="3.7109375" style="36" customWidth="1"/>
    <col min="19" max="19" width="14.5703125" style="36" customWidth="1"/>
    <col min="20" max="22" width="3.7109375" style="36" customWidth="1"/>
    <col min="23" max="23" width="15.28515625" style="36" bestFit="1" customWidth="1"/>
    <col min="24" max="24" width="4.28515625" style="36" customWidth="1"/>
    <col min="27" max="27" width="10.7109375" bestFit="1" customWidth="1"/>
  </cols>
  <sheetData>
    <row r="2" spans="1:29" x14ac:dyDescent="0.25">
      <c r="B2" s="76" t="s">
        <v>48</v>
      </c>
      <c r="C2" s="34"/>
      <c r="F2" s="37" t="s">
        <v>49</v>
      </c>
      <c r="G2" s="37"/>
      <c r="J2" s="37" t="s">
        <v>56</v>
      </c>
      <c r="K2" s="37"/>
      <c r="N2" s="190" t="s">
        <v>82</v>
      </c>
      <c r="O2" s="190"/>
      <c r="P2" s="190"/>
      <c r="Q2" s="190"/>
      <c r="R2" s="190"/>
      <c r="S2" s="190"/>
      <c r="T2" s="190"/>
      <c r="U2" s="190"/>
      <c r="V2" s="190"/>
      <c r="W2" s="190"/>
    </row>
    <row r="3" spans="1:29" x14ac:dyDescent="0.25">
      <c r="A3" s="41">
        <v>1</v>
      </c>
      <c r="B3" s="32" t="s">
        <v>41</v>
      </c>
      <c r="C3" s="41">
        <f>Flowchart!V43</f>
        <v>1</v>
      </c>
      <c r="E3" s="41">
        <v>1</v>
      </c>
      <c r="F3" s="38" t="s">
        <v>41</v>
      </c>
      <c r="G3" s="41">
        <f>Flowchart!O53</f>
        <v>1</v>
      </c>
      <c r="I3" s="41">
        <v>1</v>
      </c>
      <c r="J3" s="38" t="s">
        <v>41</v>
      </c>
      <c r="K3" s="41">
        <f>Flowchart!AQ48</f>
        <v>1</v>
      </c>
      <c r="P3" s="40">
        <v>1</v>
      </c>
      <c r="R3" s="40"/>
      <c r="S3" s="40">
        <v>2</v>
      </c>
      <c r="T3" s="40"/>
      <c r="U3" s="40"/>
      <c r="V3" s="40"/>
      <c r="W3" s="40">
        <v>3</v>
      </c>
    </row>
    <row r="4" spans="1:29" x14ac:dyDescent="0.25">
      <c r="A4" s="41">
        <v>2</v>
      </c>
      <c r="B4" s="32" t="s">
        <v>217</v>
      </c>
      <c r="C4" s="41"/>
      <c r="E4" s="41">
        <v>2</v>
      </c>
      <c r="F4" s="33" t="s">
        <v>50</v>
      </c>
      <c r="G4" s="33"/>
      <c r="I4" s="41">
        <v>2</v>
      </c>
      <c r="J4" s="73" t="s">
        <v>198</v>
      </c>
      <c r="K4" s="41"/>
      <c r="M4" s="40">
        <v>1</v>
      </c>
      <c r="N4" s="36" t="s">
        <v>41</v>
      </c>
      <c r="O4" s="40">
        <v>1</v>
      </c>
      <c r="P4" s="36" t="str">
        <f>N4</f>
        <v>Elective</v>
      </c>
      <c r="Q4" s="40">
        <f>Flowchart!AJ53</f>
        <v>1</v>
      </c>
      <c r="R4" s="40">
        <v>1</v>
      </c>
      <c r="S4" s="36" t="str">
        <f>P4</f>
        <v>Elective</v>
      </c>
      <c r="T4" s="40">
        <f>Flowchart!AQ53</f>
        <v>1</v>
      </c>
      <c r="U4" s="40"/>
      <c r="V4" s="40">
        <v>1</v>
      </c>
      <c r="W4" s="36" t="str">
        <f>S4</f>
        <v>Elective</v>
      </c>
      <c r="X4" s="40"/>
      <c r="Z4" t="s">
        <v>146</v>
      </c>
      <c r="AA4" s="79">
        <v>44697</v>
      </c>
      <c r="AB4" t="s">
        <v>264</v>
      </c>
      <c r="AC4" t="s">
        <v>263</v>
      </c>
    </row>
    <row r="5" spans="1:29" x14ac:dyDescent="0.25">
      <c r="A5" s="41">
        <v>3</v>
      </c>
      <c r="B5" s="32" t="s">
        <v>42</v>
      </c>
      <c r="C5" s="41"/>
      <c r="E5" s="41">
        <v>3</v>
      </c>
      <c r="F5" s="33" t="s">
        <v>51</v>
      </c>
      <c r="G5" s="33"/>
      <c r="I5" s="41">
        <v>3</v>
      </c>
      <c r="J5" s="73" t="s">
        <v>266</v>
      </c>
      <c r="M5" s="40">
        <f>M4+1</f>
        <v>2</v>
      </c>
      <c r="N5" s="72" t="s">
        <v>67</v>
      </c>
      <c r="O5" s="39">
        <v>2</v>
      </c>
      <c r="P5" s="36" t="str">
        <f>N5</f>
        <v>AGEC 1103</v>
      </c>
      <c r="Q5" s="42">
        <f>IF(Q$4=O5,1,IF(Q$4=O6,1,0))</f>
        <v>0</v>
      </c>
      <c r="R5" s="39">
        <v>2</v>
      </c>
      <c r="S5" s="36" t="str">
        <f>IF(Q$4=O5,"NA",P5)</f>
        <v>AGEC 1103</v>
      </c>
      <c r="T5" s="42">
        <f>IF(T$4=O5,1,IF(T$4=O6,1,0))</f>
        <v>0</v>
      </c>
      <c r="U5" s="43">
        <f>Q5+T5</f>
        <v>0</v>
      </c>
      <c r="V5" s="39">
        <v>2</v>
      </c>
      <c r="W5" s="36" t="str">
        <f>IF(T$4=O5,"NA",IF(U$5&gt;1,"NA",S5))</f>
        <v>AGEC 1103</v>
      </c>
      <c r="AA5" s="79">
        <v>44697</v>
      </c>
      <c r="AB5" t="s">
        <v>264</v>
      </c>
      <c r="AC5" t="s">
        <v>265</v>
      </c>
    </row>
    <row r="6" spans="1:29" x14ac:dyDescent="0.25">
      <c r="A6" s="41">
        <v>4</v>
      </c>
      <c r="B6" s="32" t="s">
        <v>43</v>
      </c>
      <c r="C6" s="41"/>
      <c r="E6" s="41">
        <v>4</v>
      </c>
      <c r="F6" s="33" t="s">
        <v>52</v>
      </c>
      <c r="G6" s="33"/>
      <c r="I6" s="41">
        <v>4</v>
      </c>
      <c r="J6" s="73" t="s">
        <v>64</v>
      </c>
      <c r="K6" s="33"/>
      <c r="M6" s="40">
        <f t="shared" ref="M6:M30" si="0">M5+1</f>
        <v>3</v>
      </c>
      <c r="N6" s="72" t="s">
        <v>68</v>
      </c>
      <c r="O6" s="40">
        <v>3</v>
      </c>
      <c r="P6" s="36" t="str">
        <f t="shared" ref="P6:P18" si="1">N6</f>
        <v>AGEC 2103</v>
      </c>
      <c r="R6" s="40">
        <v>3</v>
      </c>
      <c r="S6" s="36" t="str">
        <f t="shared" ref="S6:S30" si="2">IF(Q$4=O6,"NA",P6)</f>
        <v>AGEC 2103</v>
      </c>
      <c r="T6" s="40"/>
      <c r="V6" s="40">
        <v>3</v>
      </c>
      <c r="W6" s="36" t="str">
        <f>IF(T$4=O6,"NA",IF(U$5&gt;1,"NA",S6))</f>
        <v>AGEC 2103</v>
      </c>
      <c r="AA6" s="79">
        <v>44697</v>
      </c>
      <c r="AB6" t="s">
        <v>264</v>
      </c>
      <c r="AC6" t="s">
        <v>267</v>
      </c>
    </row>
    <row r="7" spans="1:29" x14ac:dyDescent="0.25">
      <c r="A7" s="41">
        <v>5</v>
      </c>
      <c r="B7" s="32" t="s">
        <v>210</v>
      </c>
      <c r="C7" s="41"/>
      <c r="E7" s="41">
        <v>5</v>
      </c>
      <c r="F7" s="33" t="s">
        <v>53</v>
      </c>
      <c r="G7" s="33"/>
      <c r="I7" s="41">
        <v>5</v>
      </c>
      <c r="J7" s="72" t="s">
        <v>59</v>
      </c>
      <c r="K7" s="33"/>
      <c r="M7" s="40">
        <f t="shared" si="0"/>
        <v>4</v>
      </c>
      <c r="N7" s="72" t="s">
        <v>69</v>
      </c>
      <c r="O7" s="39">
        <v>4</v>
      </c>
      <c r="P7" s="36" t="str">
        <f t="shared" si="1"/>
        <v>ANTH 1023</v>
      </c>
      <c r="Q7" s="42">
        <f>IF(Q$4=O7,1,0)</f>
        <v>0</v>
      </c>
      <c r="R7" s="39">
        <v>4</v>
      </c>
      <c r="S7" s="36" t="str">
        <f t="shared" si="2"/>
        <v>ANTH 1023</v>
      </c>
      <c r="T7" s="42">
        <f>IF(T$4=O7,1,0)</f>
        <v>0</v>
      </c>
      <c r="U7" s="43">
        <f>Q7+T7</f>
        <v>0</v>
      </c>
      <c r="V7" s="39">
        <v>4</v>
      </c>
      <c r="W7" s="36" t="str">
        <f>IF(T$4=O7,"NA",IF(U$7&gt;1,"NA",S7))</f>
        <v>ANTH 1023</v>
      </c>
      <c r="AA7" s="79">
        <v>44697</v>
      </c>
      <c r="AB7" t="s">
        <v>264</v>
      </c>
      <c r="AC7" t="s">
        <v>269</v>
      </c>
    </row>
    <row r="8" spans="1:29" x14ac:dyDescent="0.25">
      <c r="A8" s="41">
        <v>6</v>
      </c>
      <c r="B8" s="32" t="s">
        <v>44</v>
      </c>
      <c r="C8" s="41"/>
      <c r="E8" s="41">
        <v>6</v>
      </c>
      <c r="F8" s="33" t="s">
        <v>262</v>
      </c>
      <c r="I8" s="41">
        <v>6</v>
      </c>
      <c r="J8" s="72" t="s">
        <v>60</v>
      </c>
      <c r="K8" s="33"/>
      <c r="M8" s="40">
        <f t="shared" si="0"/>
        <v>5</v>
      </c>
      <c r="N8" s="72" t="s">
        <v>189</v>
      </c>
      <c r="O8" s="40">
        <v>5</v>
      </c>
      <c r="P8" s="36" t="str">
        <f t="shared" si="1"/>
        <v>COMM 1023</v>
      </c>
      <c r="Q8" s="42">
        <f>IF(Q$4=O8,1,0)</f>
        <v>0</v>
      </c>
      <c r="R8" s="40">
        <v>5</v>
      </c>
      <c r="S8" s="36" t="str">
        <f t="shared" si="2"/>
        <v>COMM 1023</v>
      </c>
      <c r="T8" s="42">
        <f>IF(T$4=O8,1,0)</f>
        <v>0</v>
      </c>
      <c r="U8" s="43">
        <f>Q8+T8</f>
        <v>0</v>
      </c>
      <c r="V8" s="40">
        <v>5</v>
      </c>
      <c r="W8" s="36" t="str">
        <f>IF(T$4=O8,"NA",IF(U$7&gt;1,"NA",S8))</f>
        <v>COMM 1023</v>
      </c>
      <c r="AA8" s="79">
        <v>44697</v>
      </c>
      <c r="AB8" t="s">
        <v>264</v>
      </c>
      <c r="AC8" t="s">
        <v>271</v>
      </c>
    </row>
    <row r="9" spans="1:29" x14ac:dyDescent="0.25">
      <c r="B9" s="32"/>
      <c r="C9" s="41"/>
      <c r="E9" s="41">
        <v>7</v>
      </c>
      <c r="F9" s="33" t="s">
        <v>54</v>
      </c>
      <c r="I9" s="41">
        <v>7</v>
      </c>
      <c r="J9" s="72" t="s">
        <v>188</v>
      </c>
      <c r="K9" s="33"/>
      <c r="M9" s="40">
        <f t="shared" si="0"/>
        <v>6</v>
      </c>
      <c r="N9" s="72" t="s">
        <v>70</v>
      </c>
      <c r="O9" s="39">
        <v>6</v>
      </c>
      <c r="P9" s="36" t="str">
        <f t="shared" si="1"/>
        <v>ECON 2013</v>
      </c>
      <c r="Q9" s="42">
        <f>IF(Q$4=O9,1,IF(Q$4=O10,1,IF(Q$4=O11,1,0)))</f>
        <v>0</v>
      </c>
      <c r="R9" s="39">
        <v>6</v>
      </c>
      <c r="S9" s="36" t="str">
        <f t="shared" si="2"/>
        <v>ECON 2013</v>
      </c>
      <c r="T9" s="42">
        <f>IF(T$4=O9,1,IF(T$4=O10,1,IF(T$4=O11,1,0)))</f>
        <v>0</v>
      </c>
      <c r="U9" s="43">
        <f>Q9+T9</f>
        <v>0</v>
      </c>
      <c r="V9" s="39">
        <v>6</v>
      </c>
      <c r="W9" s="36" t="str">
        <f>IF(T$4=O9,"NA",IF(U$9&gt;1,"NA",S9))</f>
        <v>ECON 2013</v>
      </c>
      <c r="AA9" s="79">
        <v>44915</v>
      </c>
      <c r="AB9" t="s">
        <v>264</v>
      </c>
      <c r="AC9" t="s">
        <v>274</v>
      </c>
    </row>
    <row r="10" spans="1:29" x14ac:dyDescent="0.25">
      <c r="B10" s="77" t="s">
        <v>83</v>
      </c>
      <c r="C10" s="41">
        <f>Flowchart!H53</f>
        <v>1</v>
      </c>
      <c r="E10" s="41">
        <v>8</v>
      </c>
      <c r="F10" s="33" t="s">
        <v>55</v>
      </c>
      <c r="G10" s="33"/>
      <c r="I10" s="41">
        <v>8</v>
      </c>
      <c r="J10" s="72" t="s">
        <v>199</v>
      </c>
      <c r="K10" s="33"/>
      <c r="M10" s="40">
        <f t="shared" si="0"/>
        <v>7</v>
      </c>
      <c r="N10" s="72" t="s">
        <v>71</v>
      </c>
      <c r="O10" s="40">
        <v>7</v>
      </c>
      <c r="P10" s="36" t="str">
        <f t="shared" si="1"/>
        <v>ECON 2023</v>
      </c>
      <c r="R10" s="40">
        <v>7</v>
      </c>
      <c r="S10" s="36" t="str">
        <f t="shared" si="2"/>
        <v>ECON 2023</v>
      </c>
      <c r="T10" s="40"/>
      <c r="V10" s="40">
        <v>7</v>
      </c>
      <c r="W10" s="36" t="str">
        <f>IF(T$4=O10,"NA",IF(U$9&gt;1,"NA",S10))</f>
        <v>ECON 2023</v>
      </c>
      <c r="AA10" s="79">
        <v>44916</v>
      </c>
      <c r="AB10" t="s">
        <v>264</v>
      </c>
      <c r="AC10" t="s">
        <v>384</v>
      </c>
    </row>
    <row r="11" spans="1:29" x14ac:dyDescent="0.25">
      <c r="A11" s="41">
        <v>1</v>
      </c>
      <c r="B11" s="32" t="s">
        <v>41</v>
      </c>
      <c r="C11" s="32"/>
      <c r="E11" s="41">
        <v>9</v>
      </c>
      <c r="F11" s="33" t="s">
        <v>187</v>
      </c>
      <c r="G11" s="33"/>
      <c r="I11" s="41">
        <v>9</v>
      </c>
      <c r="J11" s="73" t="s">
        <v>200</v>
      </c>
      <c r="K11" s="33"/>
      <c r="M11" s="40">
        <f t="shared" si="0"/>
        <v>8</v>
      </c>
      <c r="N11" s="72" t="s">
        <v>72</v>
      </c>
      <c r="O11" s="39">
        <v>8</v>
      </c>
      <c r="P11" s="36" t="str">
        <f t="shared" si="1"/>
        <v>ECON 2143</v>
      </c>
      <c r="R11" s="39">
        <v>8</v>
      </c>
      <c r="S11" s="36" t="str">
        <f t="shared" si="2"/>
        <v>ECON 2143</v>
      </c>
      <c r="T11" s="40"/>
      <c r="V11" s="39">
        <v>8</v>
      </c>
      <c r="W11" s="36" t="str">
        <f>IF(T$4=O11,"NA",IF(U$9&gt;1,"NA",S11))</f>
        <v>ECON 2143</v>
      </c>
    </row>
    <row r="12" spans="1:29" x14ac:dyDescent="0.25">
      <c r="A12" s="41">
        <v>2</v>
      </c>
      <c r="B12" s="33" t="s">
        <v>45</v>
      </c>
      <c r="C12" s="33"/>
      <c r="E12" s="41">
        <v>10</v>
      </c>
      <c r="F12" s="33" t="s">
        <v>219</v>
      </c>
      <c r="G12" s="33"/>
      <c r="I12" s="41">
        <v>10</v>
      </c>
      <c r="J12" s="72" t="s">
        <v>63</v>
      </c>
      <c r="K12" s="33"/>
      <c r="M12" s="40">
        <f t="shared" si="0"/>
        <v>9</v>
      </c>
      <c r="N12" s="72" t="s">
        <v>202</v>
      </c>
      <c r="O12" s="40">
        <v>9</v>
      </c>
      <c r="P12" s="36" t="str">
        <f t="shared" si="1"/>
        <v>GEOS 1123</v>
      </c>
      <c r="Q12" s="42">
        <f>IF(Q$4=O12,1,IF(Q$4=O13,1,0))</f>
        <v>0</v>
      </c>
      <c r="R12" s="40">
        <v>9</v>
      </c>
      <c r="S12" s="36" t="str">
        <f t="shared" si="2"/>
        <v>GEOS 1123</v>
      </c>
      <c r="T12" s="42">
        <f>IF(T$4=O12,1,IF(T$4=O13,1,0))</f>
        <v>0</v>
      </c>
      <c r="U12" s="43">
        <f>Q12+T12</f>
        <v>0</v>
      </c>
      <c r="V12" s="40">
        <v>9</v>
      </c>
      <c r="W12" s="36" t="str">
        <f>IF(T$4=O12,"NA",IF(U$12&gt;1,"NA",S12))</f>
        <v>GEOS 1123</v>
      </c>
      <c r="X12" s="33"/>
    </row>
    <row r="13" spans="1:29" x14ac:dyDescent="0.25">
      <c r="A13" s="41">
        <v>3</v>
      </c>
      <c r="B13" s="33" t="s">
        <v>46</v>
      </c>
      <c r="C13" s="33"/>
      <c r="E13" s="41">
        <v>11</v>
      </c>
      <c r="F13" s="38" t="s">
        <v>196</v>
      </c>
      <c r="I13" s="41">
        <v>11</v>
      </c>
      <c r="J13" s="72" t="s">
        <v>268</v>
      </c>
      <c r="K13" s="33"/>
      <c r="M13" s="40">
        <f t="shared" si="0"/>
        <v>10</v>
      </c>
      <c r="N13" s="72" t="s">
        <v>203</v>
      </c>
      <c r="O13" s="39">
        <v>10</v>
      </c>
      <c r="P13" s="36" t="str">
        <f t="shared" si="1"/>
        <v>GEOS 2003</v>
      </c>
      <c r="R13" s="39">
        <v>10</v>
      </c>
      <c r="S13" s="36" t="str">
        <f t="shared" si="2"/>
        <v>GEOS 2003</v>
      </c>
      <c r="T13" s="40"/>
      <c r="V13" s="39">
        <v>10</v>
      </c>
      <c r="W13" s="36" t="str">
        <f>IF(T$4=O13,"NA",IF(U$12&gt;1,"NA",S13))</f>
        <v>GEOS 2003</v>
      </c>
      <c r="X13" s="33"/>
    </row>
    <row r="14" spans="1:29" x14ac:dyDescent="0.25">
      <c r="A14" s="41">
        <v>4</v>
      </c>
      <c r="B14" s="33" t="s">
        <v>47</v>
      </c>
      <c r="C14" s="33"/>
      <c r="E14" s="41">
        <v>12</v>
      </c>
      <c r="F14" s="38" t="s">
        <v>197</v>
      </c>
      <c r="I14" s="41">
        <v>12</v>
      </c>
      <c r="J14" s="72" t="s">
        <v>220</v>
      </c>
      <c r="K14" s="33"/>
      <c r="M14" s="40">
        <f t="shared" si="0"/>
        <v>11</v>
      </c>
      <c r="N14" s="72" t="s">
        <v>221</v>
      </c>
      <c r="O14" s="40">
        <v>11</v>
      </c>
      <c r="P14" s="36" t="str">
        <f t="shared" si="1"/>
        <v>HDFS 1403</v>
      </c>
      <c r="Q14" s="42">
        <f>IF(Q$4=O14,1,IF(Q$4=O15,1,IF(Q$4=O16,1,0)))</f>
        <v>0</v>
      </c>
      <c r="R14" s="40">
        <v>11</v>
      </c>
      <c r="S14" s="36" t="str">
        <f t="shared" si="2"/>
        <v>HDFS 1403</v>
      </c>
      <c r="T14" s="42">
        <f>IF(T$4=O14,1,IF(T$4=O15,1,IF(T4=O16,1,0)))</f>
        <v>0</v>
      </c>
      <c r="U14" s="43">
        <f>Q14+T14</f>
        <v>0</v>
      </c>
      <c r="V14" s="40">
        <v>11</v>
      </c>
      <c r="W14" s="36" t="str">
        <f>IF(T$4=O14,"NA",IF(U$14&gt;1,"NA",S14))</f>
        <v>HDFS 1403</v>
      </c>
    </row>
    <row r="15" spans="1:29" x14ac:dyDescent="0.25">
      <c r="E15" s="41">
        <v>13</v>
      </c>
      <c r="I15" s="41">
        <v>13</v>
      </c>
      <c r="J15" s="72" t="s">
        <v>201</v>
      </c>
      <c r="K15" s="33"/>
      <c r="M15" s="40">
        <f t="shared" si="0"/>
        <v>12</v>
      </c>
      <c r="N15" s="72" t="s">
        <v>222</v>
      </c>
      <c r="O15" s="39">
        <v>12</v>
      </c>
      <c r="P15" s="36" t="str">
        <f t="shared" si="1"/>
        <v>HDFS 2413</v>
      </c>
      <c r="R15" s="39">
        <v>12</v>
      </c>
      <c r="S15" s="36" t="str">
        <f>IF(Q$4=O15,"NA",P15)</f>
        <v>HDFS 2413</v>
      </c>
      <c r="T15" s="40"/>
      <c r="V15" s="39">
        <v>12</v>
      </c>
      <c r="W15" s="36" t="str">
        <f>IF(T$4=O15,"NA",IF(U$14&gt;1,"NA",S15))</f>
        <v>HDFS 2413</v>
      </c>
    </row>
    <row r="16" spans="1:29" x14ac:dyDescent="0.25">
      <c r="B16" s="44" t="s">
        <v>204</v>
      </c>
      <c r="F16" s="37" t="s">
        <v>90</v>
      </c>
      <c r="I16" s="41">
        <v>14</v>
      </c>
      <c r="J16" s="72" t="s">
        <v>57</v>
      </c>
      <c r="K16" s="33"/>
      <c r="M16" s="40">
        <f t="shared" si="0"/>
        <v>13</v>
      </c>
      <c r="N16" s="72" t="s">
        <v>223</v>
      </c>
      <c r="O16" s="40">
        <v>13</v>
      </c>
      <c r="P16" s="36" t="str">
        <f t="shared" si="1"/>
        <v>HDFS 2603</v>
      </c>
      <c r="R16" s="40">
        <v>13</v>
      </c>
      <c r="S16" s="36" t="str">
        <f>IF(Q$4=O16,"NA",P16)</f>
        <v>HDFS 2603</v>
      </c>
      <c r="T16" s="40"/>
      <c r="V16" s="40">
        <v>13</v>
      </c>
      <c r="W16" s="36" t="str">
        <f>IF(T$4=O16,"NA",IF(U$14&gt;1,"NA",S16))</f>
        <v>HDFS 2603</v>
      </c>
    </row>
    <row r="17" spans="1:24" x14ac:dyDescent="0.25">
      <c r="A17" s="41">
        <v>1</v>
      </c>
      <c r="B17" s="32" t="s">
        <v>41</v>
      </c>
      <c r="F17" s="38" t="s">
        <v>13</v>
      </c>
      <c r="I17" s="41">
        <v>15</v>
      </c>
      <c r="J17" s="72" t="s">
        <v>58</v>
      </c>
      <c r="K17" s="33"/>
      <c r="M17" s="40">
        <f t="shared" si="0"/>
        <v>14</v>
      </c>
      <c r="N17" s="33" t="s">
        <v>73</v>
      </c>
      <c r="O17" s="39">
        <v>14</v>
      </c>
      <c r="P17" s="36" t="str">
        <f t="shared" si="1"/>
        <v>HIST 1113</v>
      </c>
      <c r="Q17" s="42">
        <f>IF(Q$4=O17,1,IF(Q$4=O18,1,IF(Q$4=O19,1,IF(Q$4=O20,1,IF(Q$4=O21,1,0)))))</f>
        <v>0</v>
      </c>
      <c r="R17" s="39">
        <v>14</v>
      </c>
      <c r="S17" s="36" t="str">
        <f>IF(Q$4=O17,"NA",P17)</f>
        <v>HIST 1113</v>
      </c>
      <c r="T17" s="42">
        <f>IF(T$4=O17,1,IF(T$4=O18,1,IF(T$4=O19,1,IF(T$4=O20,1,IF(T$4=O21,1,0)))))</f>
        <v>0</v>
      </c>
      <c r="U17" s="43">
        <f>Q17+T17</f>
        <v>0</v>
      </c>
      <c r="V17" s="39">
        <v>14</v>
      </c>
      <c r="W17" s="36" t="str">
        <f>IF(T$4=O17,"NA",IF(U$17&gt;1,"NA",S17))</f>
        <v>HIST 1113</v>
      </c>
    </row>
    <row r="18" spans="1:24" x14ac:dyDescent="0.25">
      <c r="A18" s="41">
        <v>2</v>
      </c>
      <c r="B18" s="32" t="s">
        <v>324</v>
      </c>
      <c r="F18" s="38" t="s">
        <v>91</v>
      </c>
      <c r="I18" s="41">
        <v>16</v>
      </c>
      <c r="J18" s="72" t="s">
        <v>270</v>
      </c>
      <c r="K18" s="33"/>
      <c r="M18" s="40">
        <f t="shared" si="0"/>
        <v>15</v>
      </c>
      <c r="N18" s="33" t="s">
        <v>74</v>
      </c>
      <c r="O18" s="40">
        <v>15</v>
      </c>
      <c r="P18" s="36" t="str">
        <f t="shared" si="1"/>
        <v>HIST 1123</v>
      </c>
      <c r="R18" s="40">
        <v>15</v>
      </c>
      <c r="S18" s="36" t="str">
        <f>IF(Q$4=O18,"NA",P18)</f>
        <v>HIST 1123</v>
      </c>
      <c r="T18" s="40"/>
      <c r="V18" s="40">
        <v>15</v>
      </c>
      <c r="W18" s="36" t="str">
        <f>IF(T$4=O18,"NA",IF(U$17&gt;1,"NA",S18))</f>
        <v>HIST 1123</v>
      </c>
    </row>
    <row r="19" spans="1:24" x14ac:dyDescent="0.25">
      <c r="A19" s="41">
        <v>3</v>
      </c>
      <c r="B19" s="32" t="s">
        <v>325</v>
      </c>
      <c r="E19" s="41">
        <v>1</v>
      </c>
      <c r="F19" s="38" t="s">
        <v>92</v>
      </c>
      <c r="I19" s="41">
        <v>17</v>
      </c>
      <c r="J19" s="72" t="s">
        <v>61</v>
      </c>
      <c r="K19" s="33"/>
      <c r="M19" s="40">
        <f t="shared" si="0"/>
        <v>16</v>
      </c>
      <c r="N19" s="33" t="s">
        <v>45</v>
      </c>
      <c r="O19" s="39">
        <v>16</v>
      </c>
      <c r="P19" s="36" t="str">
        <f>IF(Flowchart!H53=2,"NA",N19)</f>
        <v>HIST 2003</v>
      </c>
      <c r="R19" s="39">
        <v>16</v>
      </c>
      <c r="S19" s="36" t="str">
        <f t="shared" si="2"/>
        <v>HIST 2003</v>
      </c>
      <c r="T19" s="40"/>
      <c r="V19" s="39">
        <v>16</v>
      </c>
      <c r="W19" s="36" t="str">
        <f>IF(T$4=O19,"NA",IF(U$17&gt;1,"NA",S19))</f>
        <v>HIST 2003</v>
      </c>
    </row>
    <row r="20" spans="1:24" x14ac:dyDescent="0.25">
      <c r="A20" s="41">
        <v>4</v>
      </c>
      <c r="B20" s="32" t="s">
        <v>326</v>
      </c>
      <c r="E20" s="41">
        <v>2</v>
      </c>
      <c r="I20" s="41">
        <v>18</v>
      </c>
      <c r="J20" s="72" t="s">
        <v>62</v>
      </c>
      <c r="K20" s="33"/>
      <c r="M20" s="40">
        <f t="shared" si="0"/>
        <v>17</v>
      </c>
      <c r="N20" s="33" t="s">
        <v>46</v>
      </c>
      <c r="O20" s="40">
        <v>17</v>
      </c>
      <c r="P20" s="36" t="str">
        <f>IF(Flowchart!H53=3,"NA",N20)</f>
        <v>HIST 2013</v>
      </c>
      <c r="R20" s="40">
        <v>17</v>
      </c>
      <c r="S20" s="36" t="str">
        <f t="shared" si="2"/>
        <v>HIST 2013</v>
      </c>
      <c r="T20" s="40"/>
      <c r="V20" s="40">
        <v>17</v>
      </c>
      <c r="W20" s="36" t="str">
        <f>IF(T$4=O20,"NA",IF(U$17&gt;1,"NA",S20))</f>
        <v>HIST 2013</v>
      </c>
    </row>
    <row r="21" spans="1:24" x14ac:dyDescent="0.25">
      <c r="A21" s="41">
        <v>5</v>
      </c>
      <c r="B21" s="36" t="s">
        <v>88</v>
      </c>
      <c r="E21" s="41">
        <v>3</v>
      </c>
      <c r="F21" s="32" t="s">
        <v>229</v>
      </c>
      <c r="I21" s="41">
        <v>19</v>
      </c>
      <c r="J21" s="33" t="s">
        <v>247</v>
      </c>
      <c r="K21" s="33"/>
      <c r="M21" s="40">
        <f t="shared" si="0"/>
        <v>18</v>
      </c>
      <c r="N21" s="33" t="s">
        <v>235</v>
      </c>
      <c r="O21" s="39">
        <v>18</v>
      </c>
      <c r="P21" s="36" t="str">
        <f>IF(Flowchart!H54=3,"NA",N21)</f>
        <v>HIST 2093</v>
      </c>
      <c r="R21" s="39">
        <v>18</v>
      </c>
      <c r="S21" s="36" t="str">
        <f t="shared" si="2"/>
        <v>HIST 2093</v>
      </c>
      <c r="T21" s="40"/>
      <c r="V21" s="39">
        <v>18</v>
      </c>
      <c r="W21" s="36" t="str">
        <f>IF(T$4=O21,"NA",IF(U$17&gt;1,"NA",S21))</f>
        <v>HIST 2093</v>
      </c>
    </row>
    <row r="22" spans="1:24" x14ac:dyDescent="0.25">
      <c r="A22" s="41">
        <v>6</v>
      </c>
      <c r="B22" s="32" t="s">
        <v>89</v>
      </c>
      <c r="F22" s="32" t="s">
        <v>233</v>
      </c>
      <c r="I22" s="41">
        <v>20</v>
      </c>
      <c r="J22" s="33" t="s">
        <v>246</v>
      </c>
      <c r="K22" s="33"/>
      <c r="M22" s="40">
        <f t="shared" si="0"/>
        <v>19</v>
      </c>
      <c r="N22" s="33" t="s">
        <v>75</v>
      </c>
      <c r="O22" s="40">
        <v>19</v>
      </c>
      <c r="P22" s="36" t="str">
        <f>N22</f>
        <v>HUMN 1114H</v>
      </c>
      <c r="Q22" s="42">
        <f>IF(Q$4=O22,1,IF(Q$4=O23,1,0))</f>
        <v>0</v>
      </c>
      <c r="R22" s="40">
        <v>19</v>
      </c>
      <c r="S22" s="36" t="str">
        <f t="shared" si="2"/>
        <v>HUMN 1114H</v>
      </c>
      <c r="T22" s="42">
        <f>IF(T$4=O22,1,IF(T$4=O23,1,0))</f>
        <v>0</v>
      </c>
      <c r="U22" s="43">
        <f>Q22+T22</f>
        <v>0</v>
      </c>
      <c r="V22" s="40">
        <v>19</v>
      </c>
      <c r="W22" s="36" t="str">
        <f>IF(T$4=O22,"NA",IF(U$22&gt;1,"NA",S22))</f>
        <v>HUMN 1114H</v>
      </c>
    </row>
    <row r="23" spans="1:24" x14ac:dyDescent="0.25">
      <c r="A23" s="41">
        <v>7</v>
      </c>
      <c r="B23" s="32" t="s">
        <v>327</v>
      </c>
      <c r="E23" s="41">
        <v>1</v>
      </c>
      <c r="F23" s="32" t="s">
        <v>92</v>
      </c>
      <c r="I23" s="41">
        <v>21</v>
      </c>
      <c r="J23" s="33" t="s">
        <v>245</v>
      </c>
      <c r="K23" s="33"/>
      <c r="M23" s="40">
        <f t="shared" si="0"/>
        <v>20</v>
      </c>
      <c r="N23" s="33" t="s">
        <v>76</v>
      </c>
      <c r="O23" s="39">
        <v>20</v>
      </c>
      <c r="P23" s="36" t="str">
        <f>N23</f>
        <v>HUMN 2114H</v>
      </c>
      <c r="R23" s="39">
        <v>20</v>
      </c>
      <c r="S23" s="36" t="str">
        <f t="shared" si="2"/>
        <v>HUMN 2114H</v>
      </c>
      <c r="T23" s="40"/>
      <c r="V23" s="39">
        <v>20</v>
      </c>
      <c r="W23" s="36" t="str">
        <f>IF(T$4=O23,"NA",IF(U$22&gt;1,"NA",S23))</f>
        <v>HUMN 2114H</v>
      </c>
    </row>
    <row r="24" spans="1:24" x14ac:dyDescent="0.25">
      <c r="A24" s="41">
        <v>8</v>
      </c>
      <c r="B24" s="32" t="s">
        <v>328</v>
      </c>
      <c r="E24" s="41">
        <v>2</v>
      </c>
      <c r="I24" s="41">
        <v>22</v>
      </c>
      <c r="J24" s="33" t="s">
        <v>244</v>
      </c>
      <c r="K24" s="33"/>
      <c r="M24" s="40">
        <f t="shared" si="0"/>
        <v>21</v>
      </c>
      <c r="N24" s="33" t="s">
        <v>47</v>
      </c>
      <c r="O24" s="40">
        <v>21</v>
      </c>
      <c r="P24" s="36" t="str">
        <f>IF(Flowchart!H53=4,"NA",N24)</f>
        <v>PLSC 2003</v>
      </c>
      <c r="Q24" s="42">
        <f>IF(Q$4=O24,1,IF(Q$4=O25,1,IF(Q$4=O26,1,0)))</f>
        <v>0</v>
      </c>
      <c r="R24" s="40">
        <v>21</v>
      </c>
      <c r="S24" s="36" t="str">
        <f t="shared" si="2"/>
        <v>PLSC 2003</v>
      </c>
      <c r="T24" s="42">
        <f>IF(T$4=O24,1,IF(T$4=O25,1,IF(T$4=O26,1,0)))</f>
        <v>0</v>
      </c>
      <c r="U24" s="43">
        <f>Q24+T24</f>
        <v>0</v>
      </c>
      <c r="V24" s="40">
        <v>21</v>
      </c>
      <c r="W24" s="36" t="str">
        <f>IF(T$4=O24,"NA",IF(U$24&gt;1,"NA",S24))</f>
        <v>PLSC 2003</v>
      </c>
    </row>
    <row r="25" spans="1:24" x14ac:dyDescent="0.25">
      <c r="A25" s="41">
        <v>9</v>
      </c>
      <c r="B25" s="36" t="s">
        <v>329</v>
      </c>
      <c r="E25" s="41">
        <v>3</v>
      </c>
      <c r="I25" s="41">
        <v>23</v>
      </c>
      <c r="J25" s="33" t="s">
        <v>243</v>
      </c>
      <c r="K25" s="33"/>
      <c r="M25" s="40">
        <f t="shared" si="0"/>
        <v>22</v>
      </c>
      <c r="N25" s="33" t="s">
        <v>77</v>
      </c>
      <c r="O25" s="39">
        <v>22</v>
      </c>
      <c r="P25" s="36" t="str">
        <f t="shared" ref="P25:P30" si="3">N25</f>
        <v>PLSC 2013</v>
      </c>
      <c r="R25" s="39">
        <v>22</v>
      </c>
      <c r="S25" s="36" t="str">
        <f t="shared" si="2"/>
        <v>PLSC 2013</v>
      </c>
      <c r="T25" s="40"/>
      <c r="V25" s="39">
        <v>22</v>
      </c>
      <c r="W25" s="36" t="str">
        <f>IF(T$4=O25,"NA",IF(U$24&gt;1,"NA",S25))</f>
        <v>PLSC 2013</v>
      </c>
    </row>
    <row r="26" spans="1:24" x14ac:dyDescent="0.25">
      <c r="A26" s="41">
        <v>10</v>
      </c>
      <c r="B26" s="36" t="s">
        <v>330</v>
      </c>
      <c r="I26" s="41">
        <v>24</v>
      </c>
      <c r="J26" s="33" t="s">
        <v>242</v>
      </c>
      <c r="K26" s="33"/>
      <c r="M26" s="40">
        <f t="shared" si="0"/>
        <v>23</v>
      </c>
      <c r="N26" s="33" t="s">
        <v>78</v>
      </c>
      <c r="O26" s="40">
        <v>23</v>
      </c>
      <c r="P26" s="36" t="str">
        <f t="shared" si="3"/>
        <v>PLSC 2203</v>
      </c>
      <c r="R26" s="40">
        <v>23</v>
      </c>
      <c r="S26" s="36" t="str">
        <f t="shared" si="2"/>
        <v>PLSC 2203</v>
      </c>
      <c r="T26" s="40"/>
      <c r="V26" s="40">
        <v>23</v>
      </c>
      <c r="W26" s="36" t="str">
        <f>IF(T$4=O26,"NA",IF(U$24&gt;1,"NA",S26))</f>
        <v>PLSC 2203</v>
      </c>
    </row>
    <row r="27" spans="1:24" x14ac:dyDescent="0.25">
      <c r="A27" s="41">
        <v>11</v>
      </c>
      <c r="B27" s="36" t="s">
        <v>331</v>
      </c>
      <c r="I27" s="41">
        <v>25</v>
      </c>
      <c r="J27" s="38" t="s">
        <v>236</v>
      </c>
      <c r="K27" s="33"/>
      <c r="M27" s="40">
        <f t="shared" si="0"/>
        <v>24</v>
      </c>
      <c r="N27" s="33" t="s">
        <v>79</v>
      </c>
      <c r="O27" s="39">
        <v>24</v>
      </c>
      <c r="P27" s="36" t="str">
        <f t="shared" si="3"/>
        <v>PSYC 2003</v>
      </c>
      <c r="Q27" s="42">
        <f>IF(Q$4=O27,1,0)</f>
        <v>0</v>
      </c>
      <c r="R27" s="39">
        <v>24</v>
      </c>
      <c r="S27" s="36" t="str">
        <f t="shared" si="2"/>
        <v>PSYC 2003</v>
      </c>
      <c r="T27" s="42">
        <f>IF(T$4=O27,1,0)</f>
        <v>0</v>
      </c>
      <c r="U27" s="43">
        <f>Q27+T27</f>
        <v>0</v>
      </c>
      <c r="V27" s="39">
        <v>24</v>
      </c>
      <c r="W27" s="36" t="str">
        <f>IF(T$4=O27,"NA",IF(U$27&gt;1,"NA",S27))</f>
        <v>PSYC 2003</v>
      </c>
    </row>
    <row r="28" spans="1:24" x14ac:dyDescent="0.25">
      <c r="A28" s="41">
        <v>12</v>
      </c>
      <c r="B28" s="36" t="s">
        <v>332</v>
      </c>
      <c r="I28" s="41">
        <v>26</v>
      </c>
      <c r="J28" s="33" t="s">
        <v>241</v>
      </c>
      <c r="K28" s="33"/>
      <c r="M28" s="40">
        <f t="shared" si="0"/>
        <v>25</v>
      </c>
      <c r="N28" s="33" t="s">
        <v>234</v>
      </c>
      <c r="O28" s="40">
        <v>25</v>
      </c>
      <c r="P28" s="36" t="str">
        <f t="shared" si="3"/>
        <v>RESM 2853</v>
      </c>
      <c r="Q28" s="42">
        <f>IF(Q$4=O28,1,0)</f>
        <v>0</v>
      </c>
      <c r="R28" s="40">
        <v>25</v>
      </c>
      <c r="S28" s="36" t="str">
        <f t="shared" si="2"/>
        <v>RESM 2853</v>
      </c>
      <c r="T28" s="42">
        <f>IF(T$4=O28,1,0)</f>
        <v>0</v>
      </c>
      <c r="U28" s="43">
        <f>Q28+T28</f>
        <v>0</v>
      </c>
      <c r="V28" s="40">
        <v>25</v>
      </c>
      <c r="W28" s="36" t="str">
        <f>IF(T$4=O28,"NA",IF(U$28&gt;1,"NA",S28))</f>
        <v>RESM 2853</v>
      </c>
    </row>
    <row r="29" spans="1:24" x14ac:dyDescent="0.25">
      <c r="A29" s="41">
        <v>13</v>
      </c>
      <c r="B29" s="36" t="s">
        <v>109</v>
      </c>
      <c r="I29" s="41">
        <v>27</v>
      </c>
      <c r="J29" s="38" t="s">
        <v>237</v>
      </c>
      <c r="K29" s="33"/>
      <c r="M29" s="40">
        <f t="shared" si="0"/>
        <v>26</v>
      </c>
      <c r="N29" s="33" t="s">
        <v>80</v>
      </c>
      <c r="O29" s="39">
        <v>26</v>
      </c>
      <c r="P29" s="36" t="str">
        <f t="shared" si="3"/>
        <v>SOCI 2013</v>
      </c>
      <c r="Q29" s="42">
        <f>IF(Q$4=O29,1,IF(Q$4=O30,1,0))</f>
        <v>0</v>
      </c>
      <c r="R29" s="39">
        <v>26</v>
      </c>
      <c r="S29" s="36" t="str">
        <f t="shared" si="2"/>
        <v>SOCI 2013</v>
      </c>
      <c r="T29" s="42">
        <f>IF(T$4=O29,1,IF(T$4=O30,1,0))</f>
        <v>0</v>
      </c>
      <c r="U29" s="43">
        <f>Q29+T29</f>
        <v>0</v>
      </c>
      <c r="V29" s="39">
        <v>26</v>
      </c>
      <c r="W29" s="36" t="str">
        <f>IF(T$4=O29,"NA",IF(U$29&gt;1,"NA",S29))</f>
        <v>SOCI 2013</v>
      </c>
    </row>
    <row r="30" spans="1:24" x14ac:dyDescent="0.25">
      <c r="I30" s="41">
        <v>28</v>
      </c>
      <c r="J30" s="33" t="s">
        <v>240</v>
      </c>
      <c r="K30" s="33"/>
      <c r="M30" s="40">
        <f t="shared" si="0"/>
        <v>27</v>
      </c>
      <c r="N30" s="33" t="s">
        <v>81</v>
      </c>
      <c r="O30" s="40">
        <v>27</v>
      </c>
      <c r="P30" s="36" t="str">
        <f t="shared" si="3"/>
        <v>SOCI 2033</v>
      </c>
      <c r="R30" s="40">
        <v>27</v>
      </c>
      <c r="S30" s="36" t="str">
        <f t="shared" si="2"/>
        <v>SOCI 2033</v>
      </c>
      <c r="V30" s="40">
        <v>27</v>
      </c>
      <c r="W30" s="36" t="str">
        <f>IF(T$4=O30,"NA",IF(U$29&gt;1,"NA",S30))</f>
        <v>SOCI 2033</v>
      </c>
    </row>
    <row r="31" spans="1:24" x14ac:dyDescent="0.25">
      <c r="B31" s="44" t="s">
        <v>87</v>
      </c>
      <c r="I31" s="41">
        <v>29</v>
      </c>
      <c r="J31" s="33" t="s">
        <v>239</v>
      </c>
      <c r="K31" s="40"/>
      <c r="L31" s="36"/>
      <c r="X31"/>
    </row>
    <row r="32" spans="1:24" x14ac:dyDescent="0.25">
      <c r="A32" s="41">
        <v>1</v>
      </c>
      <c r="B32" s="32" t="s">
        <v>228</v>
      </c>
      <c r="I32" s="41">
        <v>30</v>
      </c>
      <c r="J32" s="33" t="s">
        <v>238</v>
      </c>
      <c r="K32" s="40"/>
      <c r="L32" s="36"/>
      <c r="Q32" s="36"/>
      <c r="W32"/>
      <c r="X32"/>
    </row>
    <row r="33" spans="1:23" x14ac:dyDescent="0.25">
      <c r="A33" s="41">
        <v>2</v>
      </c>
      <c r="B33" s="32" t="s">
        <v>387</v>
      </c>
      <c r="C33" s="35" t="s">
        <v>337</v>
      </c>
      <c r="J33" s="33"/>
      <c r="K33" s="33"/>
      <c r="Q33" s="36"/>
      <c r="W33"/>
    </row>
    <row r="34" spans="1:23" x14ac:dyDescent="0.25">
      <c r="A34" s="41">
        <v>3</v>
      </c>
      <c r="B34" s="32" t="s">
        <v>388</v>
      </c>
      <c r="C34" s="35" t="s">
        <v>338</v>
      </c>
      <c r="K34" s="33"/>
    </row>
    <row r="35" spans="1:23" x14ac:dyDescent="0.25">
      <c r="A35" s="41">
        <v>4</v>
      </c>
      <c r="B35" s="32" t="s">
        <v>389</v>
      </c>
      <c r="C35" s="35" t="s">
        <v>339</v>
      </c>
      <c r="K35" s="33"/>
    </row>
    <row r="36" spans="1:23" x14ac:dyDescent="0.25">
      <c r="A36" s="41">
        <v>5</v>
      </c>
      <c r="B36" s="32" t="s">
        <v>390</v>
      </c>
      <c r="C36" s="35" t="s">
        <v>340</v>
      </c>
      <c r="K36" s="33"/>
    </row>
    <row r="37" spans="1:23" x14ac:dyDescent="0.25">
      <c r="K37" s="33"/>
    </row>
    <row r="38" spans="1:23" x14ac:dyDescent="0.25">
      <c r="A38" s="41">
        <v>1</v>
      </c>
      <c r="B38" s="32" t="s">
        <v>323</v>
      </c>
      <c r="K38" s="33"/>
    </row>
    <row r="39" spans="1:23" x14ac:dyDescent="0.25">
      <c r="A39" s="41">
        <v>2</v>
      </c>
      <c r="B39" s="32" t="s">
        <v>387</v>
      </c>
      <c r="C39" s="35" t="s">
        <v>337</v>
      </c>
      <c r="J39" s="32"/>
      <c r="K39" s="35"/>
    </row>
    <row r="40" spans="1:23" x14ac:dyDescent="0.25">
      <c r="A40" s="41">
        <v>3</v>
      </c>
      <c r="B40" s="32" t="s">
        <v>388</v>
      </c>
      <c r="C40" s="35" t="s">
        <v>338</v>
      </c>
      <c r="J40" s="32"/>
      <c r="K40" s="35"/>
    </row>
    <row r="41" spans="1:23" x14ac:dyDescent="0.25">
      <c r="A41" s="41">
        <v>4</v>
      </c>
      <c r="B41" s="32" t="s">
        <v>389</v>
      </c>
      <c r="C41" s="35" t="s">
        <v>339</v>
      </c>
      <c r="K41" s="33"/>
    </row>
    <row r="42" spans="1:23" x14ac:dyDescent="0.25">
      <c r="A42" s="41">
        <v>5</v>
      </c>
      <c r="B42" s="32" t="s">
        <v>390</v>
      </c>
      <c r="C42" s="35" t="s">
        <v>340</v>
      </c>
      <c r="K42" s="33"/>
    </row>
  </sheetData>
  <mergeCells count="1">
    <mergeCell ref="N2:W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Flowchart</vt:lpstr>
      <vt:lpstr>Audit</vt:lpstr>
      <vt:lpstr>GenEd</vt:lpstr>
      <vt:lpstr>Page1</vt:lpstr>
      <vt:lpstr>Page2</vt:lpstr>
      <vt:lpstr>Page3</vt:lpstr>
      <vt:lpstr>Audit!Print_Area</vt:lpstr>
      <vt:lpstr>Page1!Print_Area</vt:lpstr>
      <vt:lpstr>Page2!Print_Area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Findlay Edwards</dc:creator>
  <cp:lastModifiedBy>Mike Emery</cp:lastModifiedBy>
  <cp:lastPrinted>2023-01-06T19:22:46Z</cp:lastPrinted>
  <dcterms:created xsi:type="dcterms:W3CDTF">2012-03-30T20:06:02Z</dcterms:created>
  <dcterms:modified xsi:type="dcterms:W3CDTF">2023-03-09T14:44:15Z</dcterms:modified>
</cp:coreProperties>
</file>